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C:\Users\yneuman\Desktop\PRESUPUESTO NOVIEMBRE 2025\"/>
    </mc:Choice>
  </mc:AlternateContent>
  <xr:revisionPtr revIDLastSave="0" documentId="8_{2300BB8B-3BF9-496D-A4F2-C8BF897C63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del presupuesto Nov.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3" i="2" l="1"/>
  <c r="P58" i="2"/>
  <c r="P32" i="2" l="1"/>
  <c r="P27" i="2" l="1"/>
  <c r="P22" i="2" l="1"/>
  <c r="P16" i="2"/>
  <c r="E13" i="2" l="1"/>
  <c r="E110" i="2"/>
  <c r="E63" i="2"/>
  <c r="O63" i="2"/>
  <c r="O58" i="2"/>
  <c r="O32" i="2"/>
  <c r="O27" i="2"/>
  <c r="O16" i="2"/>
  <c r="N58" i="2" l="1"/>
  <c r="N32" i="2" l="1"/>
  <c r="N27" i="2"/>
  <c r="N22" i="2"/>
  <c r="M56" i="2" l="1"/>
  <c r="P56" i="2" s="1"/>
  <c r="O56" i="2" l="1"/>
  <c r="N56" i="2"/>
  <c r="L58" i="2" l="1"/>
  <c r="L32" i="2"/>
  <c r="L27" i="2"/>
  <c r="L22" i="2"/>
  <c r="I55" i="2"/>
  <c r="J55" i="2" l="1"/>
  <c r="K55" i="2"/>
  <c r="L55" i="2" s="1"/>
  <c r="H21" i="2"/>
  <c r="K58" i="2"/>
  <c r="M58" i="2" s="1"/>
  <c r="K32" i="2"/>
  <c r="K30" i="2"/>
  <c r="K27" i="2"/>
  <c r="M27" i="2" s="1"/>
  <c r="I26" i="2"/>
  <c r="J65" i="2"/>
  <c r="J59" i="2"/>
  <c r="J33" i="2"/>
  <c r="J32" i="2"/>
  <c r="K33" i="2" l="1"/>
  <c r="P33" i="2"/>
  <c r="P59" i="2"/>
  <c r="P55" i="2"/>
  <c r="M55" i="2"/>
  <c r="N55" i="2" s="1"/>
  <c r="O55" i="2" s="1"/>
  <c r="K65" i="2"/>
  <c r="N65" i="2"/>
  <c r="P65" i="2" s="1"/>
  <c r="O33" i="2"/>
  <c r="N33" i="2"/>
  <c r="L59" i="2"/>
  <c r="N59" i="2" s="1"/>
  <c r="L33" i="2"/>
  <c r="M33" i="2" s="1"/>
  <c r="K59" i="2"/>
  <c r="L65" i="2"/>
  <c r="M65" i="2" s="1"/>
  <c r="L30" i="2"/>
  <c r="M30" i="2" s="1"/>
  <c r="J26" i="2"/>
  <c r="J23" i="2"/>
  <c r="J22" i="2"/>
  <c r="I37" i="2"/>
  <c r="I35" i="2"/>
  <c r="I34" i="2"/>
  <c r="I32" i="2"/>
  <c r="M32" i="2" s="1"/>
  <c r="I31" i="2"/>
  <c r="I25" i="2"/>
  <c r="I23" i="2"/>
  <c r="I20" i="2"/>
  <c r="G24" i="2"/>
  <c r="G19" i="2"/>
  <c r="G17" i="2"/>
  <c r="G14" i="2"/>
  <c r="G13" i="2"/>
  <c r="D84" i="2"/>
  <c r="D81" i="2"/>
  <c r="D78" i="2"/>
  <c r="D72" i="2"/>
  <c r="D69" i="2"/>
  <c r="D64" i="2"/>
  <c r="D54" i="2"/>
  <c r="D47" i="2"/>
  <c r="D46" i="2" s="1"/>
  <c r="D38" i="2" s="1"/>
  <c r="D28" i="2"/>
  <c r="D18" i="2"/>
  <c r="D12" i="2"/>
  <c r="E84" i="2"/>
  <c r="E81" i="2"/>
  <c r="E78" i="2"/>
  <c r="E72" i="2"/>
  <c r="E69" i="2"/>
  <c r="E64" i="2"/>
  <c r="E54" i="2"/>
  <c r="E46" i="2"/>
  <c r="E38" i="2"/>
  <c r="E28" i="2"/>
  <c r="E18" i="2"/>
  <c r="M59" i="2" l="1"/>
  <c r="P23" i="2"/>
  <c r="H17" i="2"/>
  <c r="I17" i="2" s="1"/>
  <c r="J17" i="2" s="1"/>
  <c r="O59" i="2"/>
  <c r="O65" i="2"/>
  <c r="E77" i="2"/>
  <c r="D76" i="2"/>
  <c r="M22" i="2"/>
  <c r="O22" i="2" s="1"/>
  <c r="N23" i="2"/>
  <c r="O23" i="2" s="1"/>
  <c r="H19" i="2"/>
  <c r="I19" i="2" s="1"/>
  <c r="H24" i="2"/>
  <c r="I24" i="2" s="1"/>
  <c r="N30" i="2"/>
  <c r="J35" i="2"/>
  <c r="J37" i="2"/>
  <c r="K37" i="2" s="1"/>
  <c r="J34" i="2"/>
  <c r="L23" i="2"/>
  <c r="K23" i="2"/>
  <c r="H13" i="2"/>
  <c r="J20" i="2"/>
  <c r="L20" i="2"/>
  <c r="H14" i="2"/>
  <c r="I14" i="2" s="1"/>
  <c r="J31" i="2"/>
  <c r="K31" i="2" s="1"/>
  <c r="J25" i="2"/>
  <c r="K25" i="2" s="1"/>
  <c r="K26" i="2"/>
  <c r="I21" i="2"/>
  <c r="D77" i="2"/>
  <c r="O30" i="2" l="1"/>
  <c r="P30" i="2"/>
  <c r="K17" i="2"/>
  <c r="J24" i="2"/>
  <c r="K24" i="2" s="1"/>
  <c r="L24" i="2" s="1"/>
  <c r="D86" i="2"/>
  <c r="M23" i="2"/>
  <c r="M20" i="2"/>
  <c r="J19" i="2"/>
  <c r="K19" i="2" s="1"/>
  <c r="L19" i="2" s="1"/>
  <c r="M19" i="2" s="1"/>
  <c r="K34" i="2"/>
  <c r="L34" i="2" s="1"/>
  <c r="K35" i="2"/>
  <c r="L31" i="2"/>
  <c r="M31" i="2" s="1"/>
  <c r="L37" i="2"/>
  <c r="J21" i="2"/>
  <c r="K21" i="2"/>
  <c r="L21" i="2" s="1"/>
  <c r="I13" i="2"/>
  <c r="J14" i="2"/>
  <c r="L26" i="2"/>
  <c r="H12" i="2"/>
  <c r="L25" i="2"/>
  <c r="P21" i="2" l="1"/>
  <c r="N25" i="2"/>
  <c r="P25" i="2" s="1"/>
  <c r="N20" i="2"/>
  <c r="P20" i="2"/>
  <c r="L35" i="2"/>
  <c r="L17" i="2"/>
  <c r="M17" i="2" s="1"/>
  <c r="O20" i="2"/>
  <c r="M26" i="2"/>
  <c r="N26" i="2"/>
  <c r="O26" i="2" s="1"/>
  <c r="M25" i="2"/>
  <c r="O25" i="2"/>
  <c r="M24" i="2"/>
  <c r="J13" i="2"/>
  <c r="K13" i="2" s="1"/>
  <c r="L13" i="2" s="1"/>
  <c r="N19" i="2"/>
  <c r="O19" i="2" s="1"/>
  <c r="K14" i="2"/>
  <c r="N31" i="2"/>
  <c r="N34" i="2"/>
  <c r="O34" i="2"/>
  <c r="P34" i="2" s="1"/>
  <c r="M37" i="2"/>
  <c r="N37" i="2" s="1"/>
  <c r="M34" i="2"/>
  <c r="M21" i="2"/>
  <c r="N21" i="2" s="1"/>
  <c r="P19" i="2" l="1"/>
  <c r="P37" i="2"/>
  <c r="R26" i="2"/>
  <c r="O31" i="2"/>
  <c r="P31" i="2"/>
  <c r="R31" i="2" s="1"/>
  <c r="M35" i="2"/>
  <c r="N35" i="2" s="1"/>
  <c r="P26" i="2"/>
  <c r="N17" i="2"/>
  <c r="O17" i="2" s="1"/>
  <c r="O35" i="2"/>
  <c r="O21" i="2"/>
  <c r="R21" i="2" s="1"/>
  <c r="O37" i="2"/>
  <c r="L14" i="2"/>
  <c r="M14" i="2" s="1"/>
  <c r="N24" i="2"/>
  <c r="M13" i="2"/>
  <c r="N13" i="2" s="1"/>
  <c r="R85" i="2"/>
  <c r="R84" i="2" s="1"/>
  <c r="R83" i="2"/>
  <c r="R82" i="2"/>
  <c r="R80" i="2"/>
  <c r="R79" i="2"/>
  <c r="R74" i="2"/>
  <c r="R75" i="2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2" i="2"/>
  <c r="R33" i="2"/>
  <c r="R34" i="2"/>
  <c r="R36" i="2"/>
  <c r="R37" i="2"/>
  <c r="R20" i="2"/>
  <c r="R22" i="2"/>
  <c r="R23" i="2"/>
  <c r="R25" i="2"/>
  <c r="R27" i="2"/>
  <c r="R19" i="2"/>
  <c r="R15" i="2"/>
  <c r="R16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O84" i="2"/>
  <c r="O81" i="2"/>
  <c r="O78" i="2"/>
  <c r="O72" i="2"/>
  <c r="O69" i="2"/>
  <c r="O64" i="2"/>
  <c r="O54" i="2"/>
  <c r="O46" i="2"/>
  <c r="O38" i="2"/>
  <c r="N84" i="2"/>
  <c r="N81" i="2"/>
  <c r="N78" i="2"/>
  <c r="N72" i="2"/>
  <c r="N69" i="2"/>
  <c r="N64" i="2"/>
  <c r="N54" i="2"/>
  <c r="N46" i="2"/>
  <c r="N38" i="2"/>
  <c r="N18" i="2"/>
  <c r="M84" i="2"/>
  <c r="M81" i="2"/>
  <c r="M78" i="2"/>
  <c r="M72" i="2"/>
  <c r="M69" i="2"/>
  <c r="M64" i="2"/>
  <c r="M54" i="2"/>
  <c r="M46" i="2"/>
  <c r="M38" i="2"/>
  <c r="M18" i="2"/>
  <c r="O24" i="2" l="1"/>
  <c r="P24" i="2" s="1"/>
  <c r="P17" i="2"/>
  <c r="R17" i="2" s="1"/>
  <c r="P35" i="2"/>
  <c r="R35" i="2" s="1"/>
  <c r="M12" i="2"/>
  <c r="N14" i="2"/>
  <c r="O14" i="2" s="1"/>
  <c r="O13" i="2"/>
  <c r="R72" i="2"/>
  <c r="R78" i="2"/>
  <c r="M77" i="2"/>
  <c r="R69" i="2"/>
  <c r="O77" i="2"/>
  <c r="Q77" i="2"/>
  <c r="N77" i="2"/>
  <c r="P77" i="2"/>
  <c r="R54" i="2"/>
  <c r="R81" i="2"/>
  <c r="R64" i="2"/>
  <c r="R38" i="2"/>
  <c r="Q76" i="2"/>
  <c r="L84" i="2"/>
  <c r="L81" i="2"/>
  <c r="L78" i="2"/>
  <c r="K84" i="2"/>
  <c r="K81" i="2"/>
  <c r="K78" i="2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F28" i="2"/>
  <c r="L18" i="2"/>
  <c r="K18" i="2"/>
  <c r="J18" i="2"/>
  <c r="I18" i="2"/>
  <c r="H18" i="2"/>
  <c r="G18" i="2"/>
  <c r="F18" i="2"/>
  <c r="L12" i="2"/>
  <c r="K12" i="2"/>
  <c r="J12" i="2"/>
  <c r="I12" i="2"/>
  <c r="G12" i="2"/>
  <c r="F12" i="2"/>
  <c r="P18" i="2" l="1"/>
  <c r="R24" i="2"/>
  <c r="O18" i="2"/>
  <c r="P14" i="2"/>
  <c r="R14" i="2" s="1"/>
  <c r="P13" i="2"/>
  <c r="P12" i="2" s="1"/>
  <c r="K77" i="2"/>
  <c r="N12" i="2"/>
  <c r="O12" i="2"/>
  <c r="R77" i="2"/>
  <c r="F77" i="2"/>
  <c r="H77" i="2"/>
  <c r="L77" i="2"/>
  <c r="J77" i="2"/>
  <c r="G77" i="2"/>
  <c r="Q86" i="2"/>
  <c r="R46" i="2"/>
  <c r="I77" i="2"/>
  <c r="F76" i="2"/>
  <c r="R13" i="2" l="1"/>
  <c r="R12" i="2" s="1"/>
  <c r="F86" i="2"/>
  <c r="R18" i="2"/>
  <c r="G28" i="2" l="1"/>
  <c r="G76" i="2" s="1"/>
  <c r="G86" i="2" s="1"/>
  <c r="H29" i="2"/>
  <c r="I29" i="2" l="1"/>
  <c r="I28" i="2" s="1"/>
  <c r="I76" i="2" s="1"/>
  <c r="I86" i="2" s="1"/>
  <c r="H28" i="2"/>
  <c r="H76" i="2" s="1"/>
  <c r="H86" i="2" s="1"/>
  <c r="J29" i="2"/>
  <c r="J28" i="2" s="1"/>
  <c r="J76" i="2" s="1"/>
  <c r="J86" i="2" s="1"/>
  <c r="K29" i="2" l="1"/>
  <c r="K28" i="2" l="1"/>
  <c r="K76" i="2" s="1"/>
  <c r="K86" i="2" s="1"/>
  <c r="L29" i="2"/>
  <c r="L28" i="2" s="1"/>
  <c r="L76" i="2" s="1"/>
  <c r="L86" i="2" s="1"/>
  <c r="M29" i="2" l="1"/>
  <c r="M28" i="2" s="1"/>
  <c r="M76" i="2" s="1"/>
  <c r="M86" i="2" s="1"/>
  <c r="N29" i="2" l="1"/>
  <c r="N28" i="2" s="1"/>
  <c r="N76" i="2" s="1"/>
  <c r="N86" i="2" s="1"/>
  <c r="O29" i="2" l="1"/>
  <c r="P29" i="2" s="1"/>
  <c r="P28" i="2" s="1"/>
  <c r="P76" i="2" s="1"/>
  <c r="P86" i="2" s="1"/>
  <c r="O28" i="2" l="1"/>
  <c r="O76" i="2" s="1"/>
  <c r="O86" i="2" s="1"/>
  <c r="R29" i="2"/>
  <c r="R28" i="2" s="1"/>
  <c r="R76" i="2" s="1"/>
  <c r="R86" i="2" s="1"/>
  <c r="E12" i="2"/>
  <c r="E76" i="2" s="1"/>
  <c r="E86" i="2" s="1"/>
</calcChain>
</file>

<file path=xl/sharedStrings.xml><?xml version="1.0" encoding="utf-8"?>
<sst xmlns="http://schemas.openxmlformats.org/spreadsheetml/2006/main" count="107" uniqueCount="107">
  <si>
    <t>Ministerio de Hacienda</t>
  </si>
  <si>
    <t>Dirección General de Bienes Nacionales</t>
  </si>
  <si>
    <t>Año 2025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</si>
  <si>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</si>
  <si>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</si>
  <si>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</si>
  <si>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</si>
  <si>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</si>
  <si>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</si>
  <si>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</si>
  <si>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</si>
  <si>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</si>
  <si>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</si>
  <si>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</si>
  <si>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</si>
  <si>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</si>
  <si>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</si>
  <si>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</si>
  <si>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</si>
  <si>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</si>
  <si>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</si>
  <si>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</si>
  <si>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</si>
  <si>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</si>
  <si>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</si>
  <si>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</si>
  <si>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</si>
  <si>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</si>
  <si>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</si>
  <si>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</si>
  <si>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</si>
  <si>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</si>
  <si>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</si>
  <si>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</si>
  <si>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</si>
  <si>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</si>
  <si>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</si>
  <si>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</si>
  <si>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</si>
  <si>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</si>
  <si>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</si>
  <si>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</si>
  <si>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</si>
  <si>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</si>
  <si>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</si>
  <si>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</si>
  <si>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</si>
  <si>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</si>
  <si>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</si>
  <si>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</si>
  <si>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</si>
  <si>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</si>
  <si>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</si>
  <si>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</si>
  <si>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</si>
  <si>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</si>
  <si>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</si>
  <si>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</si>
  <si>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</si>
  <si>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</si>
  <si>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</si>
  <si>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</si>
  <si>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</si>
  <si>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</si>
  <si>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</si>
  <si>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</si>
  <si>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</si>
  <si>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</si>
  <si>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</si>
  <si>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</si>
  <si>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</si>
  <si>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</si>
  <si>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</si>
  <si>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</si>
  <si>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</si>
  <si>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</si>
  <si>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</si>
  <si>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</si>
  <si>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</si>
  <si>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</si>
  <si>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</si>
  <si>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</si>
  <si>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</si>
  <si>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</si>
  <si>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</si>
  <si>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</si>
  <si>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</si>
  <si>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de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</si>
  <si>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</si>
  <si>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</si>
  <si>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</si>
  <si>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</si>
  <si>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</si>
  <si>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</si>
  <si>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</si>
  <si>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</si>
  <si>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</si>
  <si>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General: FUENTE SIGEF.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</si>
  <si>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</si>
  <si>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</si>
  <si>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</si>
  <si>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Preparado por:   Valentina de la Cruz                                                                           </t>
  </si>
  <si>
    <t xml:space="preserve">  Revisado por:    Lic. Felipe Lopez</t>
  </si>
  <si>
    <t>Aprobado por: Lic. Maria Mercedes Troncoso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</si>
  <si>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</si>
  <si>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Enc. Contabilidad</t>
  </si>
  <si>
    <t xml:space="preserve">              Directora Fianaciera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</si>
</sst>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4" fontId="0" fillId="0" borderId="0" xfId="0" applyNumberFormat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43" fontId="0" fillId="0" borderId="0" xfId="0" applyNumberFormat="1"/>
    <xf numFmtId="43" fontId="0" fillId="0" borderId="12" xfId="1" applyFont="1" applyFill="1" applyBorder="1" applyAlignment="1">
      <alignment vertical="center" wrapText="1"/>
    </xf>
    <xf numFmtId="0" fontId="0" fillId="3" borderId="0" xfId="0" applyFill="1" applyAlignment="1">
      <alignment horizontal="left" indent="2"/>
    </xf>
    <xf numFmtId="4" fontId="0" fillId="3" borderId="12" xfId="0" applyNumberFormat="1" applyFill="1" applyBorder="1"/>
    <xf numFmtId="43" fontId="0" fillId="3" borderId="13" xfId="1" applyFont="1" applyFill="1" applyBorder="1" applyAlignment="1">
      <alignment vertical="center" wrapText="1"/>
    </xf>
    <xf numFmtId="43" fontId="9" fillId="0" borderId="12" xfId="1" applyFont="1" applyFill="1" applyBorder="1" applyAlignment="1">
      <alignment vertical="center" wrapText="1"/>
    </xf>
    <xf numFmtId="43" fontId="0" fillId="0" borderId="12" xfId="0" applyNumberFormat="1" applyBorder="1" applyAlignment="1">
      <alignment vertical="center" wrapText="1"/>
    </xf>
    <xf numFmtId="43" fontId="3" fillId="0" borderId="12" xfId="1" applyFont="1" applyFill="1" applyBorder="1" applyAlignment="1">
      <alignment vertical="center" wrapText="1"/>
    </xf>
    <xf numFmtId="43" fontId="0" fillId="0" borderId="0" xfId="1" applyFont="1"/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438151</xdr:colOff>
      <xdr:row>3</xdr:row>
      <xdr:rowOff>38099</xdr:rowOff>
    </xdr:from>
    <xdr:to>
      <xdr:col>16</xdr:col>
      <xdr:colOff>200025</xdr:colOff>
      <xdr:row>7</xdr:row>
      <xdr:rowOff>38100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2676" y="781049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590551</xdr:colOff>
      <xdr:row>3</xdr:row>
      <xdr:rowOff>38100</xdr:rowOff>
    </xdr:from>
    <xdr:to>
      <xdr:col>2</xdr:col>
      <xdr:colOff>1600201</xdr:colOff>
      <xdr:row>7</xdr:row>
      <xdr:rowOff>47624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781050"/>
          <a:ext cx="1009650" cy="876299"/>
        </a:xfrm>
        <a:prstGeom prst="rect">
          <a:avLst/>
        </a:prstGeom>
      </xdr:spPr>
    </xdr:pic>
    <xdr:clientData/>
  </xdr:twoCellAnchor>
  <xdr:twoCellAnchor editAs="oneCell">
    <xdr:from>
      <xdr:col>3</xdr:col>
      <xdr:colOff>752476</xdr:colOff>
      <xdr:row>3</xdr:row>
      <xdr:rowOff>114300</xdr:rowOff>
    </xdr:from>
    <xdr:to>
      <xdr:col>4</xdr:col>
      <xdr:colOff>466725</xdr:colOff>
      <xdr:row>6</xdr:row>
      <xdr:rowOff>133349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9109DBC3-20B3-4CA8-A81B-3BBF2FD6C7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1" y="857250"/>
          <a:ext cx="1181100" cy="68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S110"/>
  <sheetViews>
    <sheetView showGridLines="0" tabSelected="1" zoomScale="90" zoomScaleNormal="90" workbookViewId="0">
      <selection activeCell="C86" sqref="C86"/>
    </sheetView>
  </sheetViews>
  <sheetFormatPr defaultColWidth="11.42578125" defaultRowHeight="15"/>
  <cols>
    <col min="1" max="1" width="4" customWidth="1"/>
    <col min="2" max="2" width="1.7109375" customWidth="1"/>
    <col min="3" max="3" width="70.5703125" customWidth="1"/>
    <col min="4" max="4" width="22" bestFit="1" customWidth="1"/>
    <col min="5" max="5" width="23.42578125" bestFit="1" customWidth="1"/>
    <col min="6" max="6" width="18.7109375" customWidth="1"/>
    <col min="7" max="7" width="18" customWidth="1"/>
    <col min="8" max="8" width="14.85546875" customWidth="1"/>
    <col min="9" max="9" width="16.140625" customWidth="1"/>
    <col min="10" max="10" width="15.85546875" customWidth="1"/>
    <col min="11" max="11" width="18.5703125" customWidth="1"/>
    <col min="12" max="12" width="14.85546875" customWidth="1"/>
    <col min="13" max="13" width="17.5703125" customWidth="1"/>
    <col min="14" max="15" width="16.7109375" customWidth="1"/>
    <col min="16" max="16" width="17.85546875" customWidth="1"/>
    <col min="17" max="17" width="10" customWidth="1"/>
    <col min="18" max="18" width="18.42578125" customWidth="1"/>
  </cols>
  <sheetData>
    <row r="2" spans="3:19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>
      <c r="C3" s="52" t="s">
        <v>0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3:19" ht="21" customHeight="1">
      <c r="C4" s="54" t="s">
        <v>1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3:19" ht="15.75">
      <c r="C5" s="60" t="s">
        <v>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3:19" ht="15.75" customHeight="1">
      <c r="C6" s="62" t="s">
        <v>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36"/>
    </row>
    <row r="7" spans="3:19" ht="15.75" customHeight="1">
      <c r="C7" s="48" t="s">
        <v>4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9" spans="3:19" ht="25.5" customHeight="1">
      <c r="C9" s="56" t="s">
        <v>5</v>
      </c>
      <c r="D9" s="58" t="s">
        <v>6</v>
      </c>
      <c r="E9" s="58" t="s">
        <v>7</v>
      </c>
      <c r="F9" s="49" t="s">
        <v>8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</row>
    <row r="10" spans="3:19">
      <c r="C10" s="57"/>
      <c r="D10" s="59"/>
      <c r="E10" s="59"/>
      <c r="F10" s="5" t="s">
        <v>9</v>
      </c>
      <c r="G10" s="5" t="s">
        <v>10</v>
      </c>
      <c r="H10" s="5" t="s">
        <v>11</v>
      </c>
      <c r="I10" s="5" t="s">
        <v>12</v>
      </c>
      <c r="J10" s="6" t="s">
        <v>13</v>
      </c>
      <c r="K10" s="5" t="s">
        <v>14</v>
      </c>
      <c r="L10" s="6" t="s">
        <v>15</v>
      </c>
      <c r="M10" s="5" t="s">
        <v>16</v>
      </c>
      <c r="N10" s="5" t="s">
        <v>17</v>
      </c>
      <c r="O10" s="5" t="s">
        <v>18</v>
      </c>
      <c r="P10" s="5" t="s">
        <v>19</v>
      </c>
      <c r="Q10" s="6" t="s">
        <v>20</v>
      </c>
      <c r="R10" s="5" t="s">
        <v>21</v>
      </c>
    </row>
    <row r="11" spans="3:19">
      <c r="C11" s="37" t="s">
        <v>22</v>
      </c>
      <c r="D11" s="21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>
      <c r="C12" s="2" t="s">
        <v>23</v>
      </c>
      <c r="D12" s="11">
        <f>+D13+D14+D15+D16+D17</f>
        <v>961369166</v>
      </c>
      <c r="E12" s="11">
        <f>+E13+E14+E15+E16+E17</f>
        <v>2447575.02</v>
      </c>
      <c r="F12" s="16">
        <f t="shared" ref="F12:L12" si="0">+F13+F14+F15+F16+F17</f>
        <v>57948310.090000004</v>
      </c>
      <c r="G12" s="11">
        <f t="shared" si="0"/>
        <v>61587709.419999994</v>
      </c>
      <c r="H12" s="11">
        <f t="shared" si="0"/>
        <v>64127092.99000001</v>
      </c>
      <c r="I12" s="11">
        <f t="shared" si="0"/>
        <v>100411271.56999998</v>
      </c>
      <c r="J12" s="11">
        <f t="shared" si="0"/>
        <v>58896821.62000002</v>
      </c>
      <c r="K12" s="11">
        <f t="shared" si="0"/>
        <v>57555865.439999983</v>
      </c>
      <c r="L12" s="11">
        <f t="shared" si="0"/>
        <v>55046541.020000003</v>
      </c>
      <c r="M12" s="11">
        <f t="shared" ref="M12:Q12" si="1">+M13+M14+M15+M16+M17</f>
        <v>54924335.540000014</v>
      </c>
      <c r="N12" s="11">
        <f t="shared" si="1"/>
        <v>66710418.150000028</v>
      </c>
      <c r="O12" s="11">
        <f t="shared" si="1"/>
        <v>100685936.06999987</v>
      </c>
      <c r="P12" s="11">
        <f t="shared" si="1"/>
        <v>107300469.29000007</v>
      </c>
      <c r="Q12" s="11">
        <f t="shared" si="1"/>
        <v>0</v>
      </c>
      <c r="R12" s="11">
        <f t="shared" ref="R12" si="2">+R13+R14+R15+R16+R17</f>
        <v>785194771.19999993</v>
      </c>
    </row>
    <row r="13" spans="3:19">
      <c r="C13" s="3" t="s">
        <v>24</v>
      </c>
      <c r="D13" s="34">
        <v>536451238</v>
      </c>
      <c r="E13" s="35">
        <f>1054173.96+756000+63000</f>
        <v>1873173.96</v>
      </c>
      <c r="F13" s="34">
        <v>41659718.340000004</v>
      </c>
      <c r="G13" s="12">
        <f>86942911.64-F13</f>
        <v>45283193.299999997</v>
      </c>
      <c r="H13" s="12">
        <f>134770151.58-F13-G13</f>
        <v>47827239.940000013</v>
      </c>
      <c r="I13" s="12">
        <f>177183161.35-F13-G13-H13</f>
        <v>42413009.769999981</v>
      </c>
      <c r="J13" s="12">
        <f>219609021.02-F13-G13-H13-I13</f>
        <v>42425859.670000017</v>
      </c>
      <c r="K13" s="12">
        <f>261339946.02-F13-G13-H13-I13-J13</f>
        <v>41730924.999999985</v>
      </c>
      <c r="L13" s="12">
        <f>302731811.9-F13-G13-H13-I13-J13-K13</f>
        <v>41391865.88000001</v>
      </c>
      <c r="M13" s="12">
        <f>343778082.2-F13-G13-H13-I13-J13-K13-L13</f>
        <v>41046270.300000012</v>
      </c>
      <c r="N13" s="12">
        <f>385440130.05-F13-G13-H13-I13-J13-K13-L13-M13</f>
        <v>41662047.850000024</v>
      </c>
      <c r="O13" s="12">
        <f>425850819.63-F13-G13-H13-I13-J13-K13-L13-M13-N13</f>
        <v>40410689.579999909</v>
      </c>
      <c r="P13" s="12">
        <f>519285537.58-F13-G13-H13-I13-J13-K13-L13-M13-N13-O13</f>
        <v>93434717.950000063</v>
      </c>
      <c r="Q13" s="12">
        <v>0</v>
      </c>
      <c r="R13" s="12">
        <f>+F13+G13+H13+I13+J13+K13+L13+M13+N13+O13+P13+Q13</f>
        <v>519285537.57999998</v>
      </c>
    </row>
    <row r="14" spans="3:19">
      <c r="C14" s="3" t="s">
        <v>25</v>
      </c>
      <c r="D14" s="34">
        <v>348862009</v>
      </c>
      <c r="E14" s="12">
        <v>260000</v>
      </c>
      <c r="F14" s="34">
        <v>9969390.6099999994</v>
      </c>
      <c r="G14" s="12">
        <f>19882581.22-F14</f>
        <v>9913190.6099999994</v>
      </c>
      <c r="H14" s="12">
        <f>29830771.83-F14-G14</f>
        <v>9948190.6099999994</v>
      </c>
      <c r="I14" s="12">
        <f>81445138.44-F14-G14-H14</f>
        <v>51614366.609999999</v>
      </c>
      <c r="J14" s="12">
        <f>91459329.05-F14-G14-H14-I14</f>
        <v>10014190.609999999</v>
      </c>
      <c r="K14" s="12">
        <f>100941519.66-F14-G14-H14-I14-J14</f>
        <v>9482190.6099999994</v>
      </c>
      <c r="L14" s="12">
        <f>108348685.27-F14-G14-H14-I14-J14-K14</f>
        <v>7407165.6099999994</v>
      </c>
      <c r="M14" s="12">
        <f>115935850.88-F14-G14-H14-I14-J14-K14-L14</f>
        <v>7587165.6099999994</v>
      </c>
      <c r="N14" s="12">
        <f>123522083.16-F14-G14-H14-I14-J14-K14-L14-M14</f>
        <v>7586232.2800000012</v>
      </c>
      <c r="O14" s="12">
        <f>177517233.43-F14-G14-H14-I14-J14-K14-L14-M14-N14</f>
        <v>53995150.269999966</v>
      </c>
      <c r="P14" s="12">
        <f>185124399.04-F14-G14-H14-I14-J14-K14-L14-M14-N14-O14</f>
        <v>7607165.6100000143</v>
      </c>
      <c r="Q14" s="12">
        <v>0</v>
      </c>
      <c r="R14" s="12">
        <f t="shared" ref="R14:R17" si="3">+F14+G14+H14+I14+J14+K14+L14+M14+N14+O14+P14+Q14</f>
        <v>185124399.03999996</v>
      </c>
    </row>
    <row r="15" spans="3:19">
      <c r="C15" s="3" t="s">
        <v>26</v>
      </c>
      <c r="D15" s="34">
        <v>0</v>
      </c>
      <c r="E15" s="12">
        <v>0</v>
      </c>
      <c r="F15" s="34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>
      <c r="C16" s="3" t="s">
        <v>27</v>
      </c>
      <c r="D16" s="34">
        <v>0</v>
      </c>
      <c r="E16" s="12">
        <v>0</v>
      </c>
      <c r="F16" s="34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11134940</v>
      </c>
      <c r="O16" s="12">
        <f>11134940-F16-G16-H16-I16-J16-K16-L16-M16-N16</f>
        <v>0</v>
      </c>
      <c r="P16" s="12">
        <f>11134940-N16</f>
        <v>0</v>
      </c>
      <c r="Q16" s="12">
        <v>0</v>
      </c>
      <c r="R16" s="12">
        <f t="shared" si="3"/>
        <v>11134940</v>
      </c>
    </row>
    <row r="17" spans="3:18">
      <c r="C17" s="3" t="s">
        <v>28</v>
      </c>
      <c r="D17" s="34">
        <v>76055919</v>
      </c>
      <c r="E17" s="12">
        <v>314401.06</v>
      </c>
      <c r="F17" s="34">
        <v>6319201.1399999997</v>
      </c>
      <c r="G17" s="12">
        <f>12710526.65-F17</f>
        <v>6391325.5100000007</v>
      </c>
      <c r="H17" s="36">
        <f>19062189.09-F17-G17</f>
        <v>6351662.4399999985</v>
      </c>
      <c r="I17" s="12">
        <f>25446084.28-F17-G17-H17</f>
        <v>6383895.1900000004</v>
      </c>
      <c r="J17" s="12">
        <f>31902855.62-F17-G17-H17-I17</f>
        <v>6456771.3400000008</v>
      </c>
      <c r="K17" s="12">
        <f>38245605.45-F17-G17-H17-I17-J17</f>
        <v>6342749.830000001</v>
      </c>
      <c r="L17" s="12">
        <f>44493114.98-F17-G17-H17-I17-J17-K17</f>
        <v>6247509.5299999947</v>
      </c>
      <c r="M17" s="12">
        <f>50784014.61-F17-G17-H17-I17-J17-K17-L17</f>
        <v>6290899.6300000055</v>
      </c>
      <c r="N17" s="12">
        <f>57111212.63-F17-G17-H17-I17-J17-K17-L17-M17</f>
        <v>6327198.0200000042</v>
      </c>
      <c r="O17" s="12">
        <f>63391308.85-F17-G17-H17-I17-J17-K17-L17-M17-N17</f>
        <v>6280096.2200000016</v>
      </c>
      <c r="P17" s="12">
        <f>69649894.58-F17-G17-H17-I17-J17-K17-L17-M17-N17-O17</f>
        <v>6258585.7299999939</v>
      </c>
      <c r="Q17" s="12">
        <v>0</v>
      </c>
      <c r="R17" s="12">
        <f t="shared" si="3"/>
        <v>69649894.579999998</v>
      </c>
    </row>
    <row r="18" spans="3:18">
      <c r="C18" s="2" t="s">
        <v>29</v>
      </c>
      <c r="D18" s="11">
        <f>+D19+D20+D21+D22+D23+D24+D25+D26+D27</f>
        <v>58572009</v>
      </c>
      <c r="E18" s="11">
        <f>+E19+E20+E21+E22+E23+E24+E25+E26+E27</f>
        <v>17658772.539999999</v>
      </c>
      <c r="F18" s="16">
        <f t="shared" ref="F18:L18" si="4">+F19+F20+F21+F22+F23+F24+F25+F26+F27</f>
        <v>6870920.75</v>
      </c>
      <c r="G18" s="11">
        <f t="shared" si="4"/>
        <v>2659973.13</v>
      </c>
      <c r="H18" s="11">
        <f t="shared" si="4"/>
        <v>6007375.3399999999</v>
      </c>
      <c r="I18" s="11">
        <f t="shared" si="4"/>
        <v>5461103.540000001</v>
      </c>
      <c r="J18" s="11">
        <f t="shared" si="4"/>
        <v>3143054.5599999987</v>
      </c>
      <c r="K18" s="11">
        <f t="shared" si="4"/>
        <v>5462547.8100000005</v>
      </c>
      <c r="L18" s="11">
        <f t="shared" si="4"/>
        <v>3298650.8200000017</v>
      </c>
      <c r="M18" s="11">
        <f t="shared" ref="M18:Q18" si="5">+M19+M20+M21+M22+M23+M24+M25+M26+M27</f>
        <v>5141505.6899999976</v>
      </c>
      <c r="N18" s="11">
        <f t="shared" si="5"/>
        <v>9917064.1000000015</v>
      </c>
      <c r="O18" s="11">
        <f t="shared" si="5"/>
        <v>3141716.5000000009</v>
      </c>
      <c r="P18" s="11">
        <f t="shared" si="5"/>
        <v>4750646.66</v>
      </c>
      <c r="Q18" s="11">
        <f t="shared" si="5"/>
        <v>0</v>
      </c>
      <c r="R18" s="11">
        <f>+R19+R20+R21+R22+R23+R24+R25+R26+R27</f>
        <v>55854558.899999999</v>
      </c>
    </row>
    <row r="19" spans="3:18">
      <c r="C19" s="3" t="s">
        <v>30</v>
      </c>
      <c r="D19" s="35">
        <v>19988000</v>
      </c>
      <c r="E19" s="12">
        <v>0</v>
      </c>
      <c r="F19" s="34">
        <v>1594649.42</v>
      </c>
      <c r="G19" s="12">
        <f>3165493.8-F19</f>
        <v>1570844.38</v>
      </c>
      <c r="H19" s="36">
        <f>4631057.83-F19-G19</f>
        <v>1465564.0300000003</v>
      </c>
      <c r="I19" s="12">
        <f>6148849.28-F19-G19-H19</f>
        <v>1517791.4500000002</v>
      </c>
      <c r="J19" s="12">
        <f>6803376.22-F19-G19-H19-I19</f>
        <v>654526.93999999948</v>
      </c>
      <c r="K19" s="12">
        <f>9349499.98-F19-G19-H19-I19-J19</f>
        <v>2546123.7600000007</v>
      </c>
      <c r="L19" s="12">
        <f>10789210.8-F19-G19-H19-I19-J19-K19</f>
        <v>1439710.8200000003</v>
      </c>
      <c r="M19" s="12">
        <f>12650177.53-F19-G19-H19-I19-J19-K19-L19</f>
        <v>1860966.7299999995</v>
      </c>
      <c r="N19" s="12">
        <f>14443958.57-F19-G19-H19-I19-J19-K19-L19-M19</f>
        <v>1793781.0399999982</v>
      </c>
      <c r="O19" s="12">
        <f>16264956.51-F19-G19-H19-I19-J19-K19-L19-M19-N19</f>
        <v>1820997.9400000023</v>
      </c>
      <c r="P19" s="12">
        <f>17961115.85-F19-G19-H19-I19-J19-K19-L19-M19-N19-O19</f>
        <v>1696159.3400000008</v>
      </c>
      <c r="Q19" s="12">
        <v>0</v>
      </c>
      <c r="R19" s="12">
        <f>+F19+G19+H19+I19+J19+K19+L19+M19+N19+O19+P19+Q19</f>
        <v>17961115.850000001</v>
      </c>
    </row>
    <row r="20" spans="3:18">
      <c r="C20" s="3" t="s">
        <v>31</v>
      </c>
      <c r="D20" s="35">
        <v>2398125</v>
      </c>
      <c r="E20" s="12">
        <v>0</v>
      </c>
      <c r="F20" s="34">
        <v>0</v>
      </c>
      <c r="G20" s="13">
        <v>0</v>
      </c>
      <c r="H20" s="12">
        <v>0</v>
      </c>
      <c r="I20" s="12">
        <f>36226</f>
        <v>36226</v>
      </c>
      <c r="J20" s="12">
        <f>36226-I20</f>
        <v>0</v>
      </c>
      <c r="K20" s="12">
        <v>0</v>
      </c>
      <c r="L20" s="12">
        <f>36226-I20</f>
        <v>0</v>
      </c>
      <c r="M20" s="12">
        <f>281891.23-F20-G20-H20-I20-J20-K20-L20</f>
        <v>245665.22999999998</v>
      </c>
      <c r="N20" s="12">
        <f>281891.23-I20-M20</f>
        <v>0</v>
      </c>
      <c r="O20" s="12">
        <f>587063.42-F20-G20-H20-I20-J20-K20-L20-M20-N20</f>
        <v>305172.19000000006</v>
      </c>
      <c r="P20" s="12">
        <f>1288675.14-I20-M20-O20</f>
        <v>701611.71999999986</v>
      </c>
      <c r="Q20" s="12">
        <v>0</v>
      </c>
      <c r="R20" s="12">
        <f t="shared" ref="R20:R27" si="6">+F20+G20+H20+I20+J20+K20+L20+M20+N20+O20+P20+Q20</f>
        <v>1288675.1399999999</v>
      </c>
    </row>
    <row r="21" spans="3:18">
      <c r="C21" s="3" t="s">
        <v>32</v>
      </c>
      <c r="D21" s="35">
        <v>10000000</v>
      </c>
      <c r="E21" s="40">
        <v>0</v>
      </c>
      <c r="F21" s="40">
        <v>0</v>
      </c>
      <c r="G21" s="44">
        <v>0</v>
      </c>
      <c r="H21" s="36">
        <f>1670862.5</f>
        <v>1670862.5</v>
      </c>
      <c r="I21" s="40">
        <f>3842120-H21</f>
        <v>2171257.5</v>
      </c>
      <c r="J21" s="12">
        <f>3842120-H21-I21</f>
        <v>0</v>
      </c>
      <c r="K21" s="40">
        <f>5420042.5-H21-I21</f>
        <v>1577922.5</v>
      </c>
      <c r="L21" s="40">
        <f>5420042.5-H21-I21-K21</f>
        <v>0</v>
      </c>
      <c r="M21" s="40">
        <f>7690590-F21-G21-H21-I21-J21-K21-L21</f>
        <v>2270547.5</v>
      </c>
      <c r="N21" s="40">
        <f>7690590-H21-I21-K21-M21</f>
        <v>0</v>
      </c>
      <c r="O21" s="40">
        <f>7690590-F21-G21-H21-I21-J21-K21-L21-M21-N21</f>
        <v>0</v>
      </c>
      <c r="P21" s="40">
        <f>9052177.5-H21-I21-K21-M21</f>
        <v>1361587.5</v>
      </c>
      <c r="Q21" s="40">
        <v>0</v>
      </c>
      <c r="R21" s="40">
        <f>+F21+G21+H21+I21+J21+K21+L21+M21+N21+O21+P21+Q21-G21</f>
        <v>9052177.5</v>
      </c>
    </row>
    <row r="22" spans="3:18">
      <c r="C22" s="3" t="s">
        <v>33</v>
      </c>
      <c r="D22" s="35">
        <v>200000</v>
      </c>
      <c r="E22" s="12">
        <v>0</v>
      </c>
      <c r="F22" s="34">
        <v>0</v>
      </c>
      <c r="G22" s="13">
        <v>0</v>
      </c>
      <c r="H22" s="12">
        <v>0</v>
      </c>
      <c r="I22" s="13">
        <v>9960</v>
      </c>
      <c r="J22" s="13">
        <f>I22-9960</f>
        <v>0</v>
      </c>
      <c r="K22" s="12">
        <v>0</v>
      </c>
      <c r="L22" s="12">
        <f>9960-I22</f>
        <v>0</v>
      </c>
      <c r="M22" s="12">
        <f>9960-F22-G22-H22-I22-J22-K22-L22</f>
        <v>0</v>
      </c>
      <c r="N22" s="12">
        <f>9960-I22</f>
        <v>0</v>
      </c>
      <c r="O22" s="12">
        <f>9960-F22-G22-H22-I22-J22-K22-L22-M22-N22</f>
        <v>0</v>
      </c>
      <c r="P22" s="12">
        <f>15660-I22</f>
        <v>5700</v>
      </c>
      <c r="Q22" s="12">
        <v>0</v>
      </c>
      <c r="R22" s="12">
        <f t="shared" si="6"/>
        <v>15660</v>
      </c>
    </row>
    <row r="23" spans="3:18">
      <c r="C23" s="3" t="s">
        <v>34</v>
      </c>
      <c r="D23" s="35">
        <v>1300000</v>
      </c>
      <c r="E23" s="12">
        <v>158772.54</v>
      </c>
      <c r="F23" s="34"/>
      <c r="G23" s="12">
        <v>0</v>
      </c>
      <c r="H23" s="36">
        <v>158772.54</v>
      </c>
      <c r="I23" s="12">
        <f>158772.54-H23</f>
        <v>0</v>
      </c>
      <c r="J23" s="12">
        <f>348752.54-H23</f>
        <v>189979.99999999997</v>
      </c>
      <c r="K23" s="12">
        <f>348752.54-H23-J23</f>
        <v>0</v>
      </c>
      <c r="L23" s="12">
        <f>348752.54-H23-J23</f>
        <v>0</v>
      </c>
      <c r="M23" s="12">
        <f>348752.54-F23-G23-H23-I23-J23-K23-L23</f>
        <v>0</v>
      </c>
      <c r="N23" s="12">
        <f>538732.54-H23-J23</f>
        <v>189980.00000000003</v>
      </c>
      <c r="O23" s="12">
        <f>538732.54-H23-J23-N23</f>
        <v>0</v>
      </c>
      <c r="P23" s="12">
        <f>578632.54-H23-J23-N23</f>
        <v>39900</v>
      </c>
      <c r="Q23" s="12">
        <v>0</v>
      </c>
      <c r="R23" s="12">
        <f t="shared" si="6"/>
        <v>578632.54</v>
      </c>
    </row>
    <row r="24" spans="3:18">
      <c r="C24" s="3" t="s">
        <v>35</v>
      </c>
      <c r="D24" s="35">
        <v>14840000</v>
      </c>
      <c r="E24" s="12">
        <v>6079208.0899999999</v>
      </c>
      <c r="F24" s="34">
        <v>5276271.33</v>
      </c>
      <c r="G24" s="12">
        <f>6365400.08-F24</f>
        <v>1089128.75</v>
      </c>
      <c r="H24" s="35">
        <f>7096916.81-F24-G24</f>
        <v>731516.72999999952</v>
      </c>
      <c r="I24" s="12">
        <f>7839027.29-F24-G24-H24</f>
        <v>742110.48000000045</v>
      </c>
      <c r="J24" s="12">
        <f>8600965.36-F24-G24-H24-I24</f>
        <v>761938.06999999937</v>
      </c>
      <c r="K24" s="12">
        <f>9505350.19-F24-G24-H24-I24-J24</f>
        <v>904384.83000000007</v>
      </c>
      <c r="L24" s="12">
        <f>10262662.38-F24-G24-H24-I24-J24-K24</f>
        <v>757312.19000000134</v>
      </c>
      <c r="M24" s="12">
        <f>11026988.61-F24-G24-H24-I24-J24-K24-L24</f>
        <v>764326.22999999858</v>
      </c>
      <c r="N24" s="12">
        <f>17858645.92-F24-G24-H24-I24-J24-K24-L24-M24</f>
        <v>6831657.3100000024</v>
      </c>
      <c r="O24" s="12">
        <f>18680158.39-F24-G24-H24-I24-J24-K24-L24-M24-N24</f>
        <v>821512.46999999881</v>
      </c>
      <c r="P24" s="12">
        <f>19492328.63-F24-G24-H24-I24-J24-K24-L24-M24-N24-O24</f>
        <v>812170.23999999836</v>
      </c>
      <c r="Q24" s="12">
        <v>0</v>
      </c>
      <c r="R24" s="12">
        <f t="shared" si="6"/>
        <v>19492328.629999999</v>
      </c>
    </row>
    <row r="25" spans="3:18">
      <c r="C25" s="3" t="s">
        <v>36</v>
      </c>
      <c r="D25" s="35">
        <v>2607000</v>
      </c>
      <c r="E25" s="12">
        <v>11420791.91</v>
      </c>
      <c r="F25" s="34">
        <v>0</v>
      </c>
      <c r="G25" s="12">
        <v>0</v>
      </c>
      <c r="H25" s="36">
        <v>1980659.54</v>
      </c>
      <c r="I25" s="12">
        <f>2179182.74-H25</f>
        <v>198523.20000000019</v>
      </c>
      <c r="J25" s="12">
        <f>2236900.09-H25-I25</f>
        <v>57717.349999999627</v>
      </c>
      <c r="K25" s="12">
        <f>2558516.81-H25-I25-J25</f>
        <v>321616.7200000002</v>
      </c>
      <c r="L25" s="12">
        <f>3471642.62-H25-I25-J25-K25</f>
        <v>913125.81</v>
      </c>
      <c r="M25" s="12">
        <f>3471642.62-F25-G25-H25-I25-J25-K25-L25</f>
        <v>0</v>
      </c>
      <c r="N25" s="12">
        <f>4100637.69-H25-I25-J25-K25-L25</f>
        <v>628995.06999999983</v>
      </c>
      <c r="O25" s="12">
        <f>4123951.59-H25-I25-J25-K25-L25-N25</f>
        <v>23313.899999999907</v>
      </c>
      <c r="P25" s="12">
        <f>4227538.65-H25-I25-J25-K25-L25-N25-O25</f>
        <v>103587.06000000052</v>
      </c>
      <c r="Q25" s="12">
        <v>0</v>
      </c>
      <c r="R25" s="12">
        <f t="shared" si="6"/>
        <v>4227538.6500000004</v>
      </c>
    </row>
    <row r="26" spans="3:18">
      <c r="C26" s="3" t="s">
        <v>37</v>
      </c>
      <c r="D26" s="35">
        <v>4060000</v>
      </c>
      <c r="E26" s="40">
        <v>0</v>
      </c>
      <c r="F26" s="40">
        <v>0</v>
      </c>
      <c r="G26" s="44">
        <v>0</v>
      </c>
      <c r="H26" s="40">
        <v>0</v>
      </c>
      <c r="I26" s="40">
        <f>785234.91-H26</f>
        <v>785234.91</v>
      </c>
      <c r="J26" s="40">
        <f>1016127.11-I26</f>
        <v>230892.19999999995</v>
      </c>
      <c r="K26" s="40">
        <f>1128627.11-I26-J26</f>
        <v>112500.00000000012</v>
      </c>
      <c r="L26" s="40">
        <f>1317129.11-I26-J26-K26</f>
        <v>188502</v>
      </c>
      <c r="M26" s="40">
        <f>1317129.11-F26-G26-H26-I26-J26-K26-L26</f>
        <v>0</v>
      </c>
      <c r="N26" s="40">
        <f>1789779.79-I26-J26-K26-L26</f>
        <v>472650.67999999993</v>
      </c>
      <c r="O26" s="40">
        <f>1960499.79-I26-J26-K26-L26-N26</f>
        <v>170719.99999999988</v>
      </c>
      <c r="P26" s="40">
        <f>1990430.59-I26-J26-K26-L26-N26-O26</f>
        <v>29930.800000000279</v>
      </c>
      <c r="Q26" s="40">
        <v>0</v>
      </c>
      <c r="R26" s="40">
        <f>+F26+G26+H26+I26+J26+K26+L26+M26+N26+O26+P26+Q26-G26</f>
        <v>1990430.5900000003</v>
      </c>
    </row>
    <row r="27" spans="3:18">
      <c r="C27" s="3" t="s">
        <v>38</v>
      </c>
      <c r="D27" s="35">
        <v>3178884</v>
      </c>
      <c r="E27" s="12">
        <v>0</v>
      </c>
      <c r="F27" s="18">
        <v>0</v>
      </c>
      <c r="G27" s="13">
        <v>0</v>
      </c>
      <c r="H27" s="13">
        <v>0</v>
      </c>
      <c r="I27" s="13">
        <v>0</v>
      </c>
      <c r="J27" s="12">
        <v>1248000</v>
      </c>
      <c r="K27" s="12">
        <f>1248000-J27</f>
        <v>0</v>
      </c>
      <c r="L27" s="12">
        <f>1248000-J27</f>
        <v>0</v>
      </c>
      <c r="M27" s="12">
        <f>1248000-F27-G27-H27-I27-J27-K27-L27</f>
        <v>0</v>
      </c>
      <c r="N27" s="12">
        <f>1248000-J27</f>
        <v>0</v>
      </c>
      <c r="O27" s="12">
        <f>1248000-J27</f>
        <v>0</v>
      </c>
      <c r="P27" s="12">
        <f>1248000-J27</f>
        <v>0</v>
      </c>
      <c r="Q27" s="12">
        <v>0</v>
      </c>
      <c r="R27" s="12">
        <f t="shared" si="6"/>
        <v>1248000</v>
      </c>
    </row>
    <row r="28" spans="3:18">
      <c r="C28" s="2" t="s">
        <v>39</v>
      </c>
      <c r="D28" s="11">
        <f>+D29+D30+D31+D32+D33+D34+D35+D36+D37</f>
        <v>40820686</v>
      </c>
      <c r="E28" s="11">
        <f>+E29+E30+E31+E32+E33+E34+E35+E36+E37</f>
        <v>373240.45</v>
      </c>
      <c r="F28" s="16">
        <f t="shared" ref="F28:L28" si="7">+F29+F30+F31+F32+F33+F34+F35+F36+F37</f>
        <v>0</v>
      </c>
      <c r="G28" s="11">
        <f t="shared" si="7"/>
        <v>133860</v>
      </c>
      <c r="H28" s="11">
        <f t="shared" si="7"/>
        <v>3901630.7299999995</v>
      </c>
      <c r="I28" s="11">
        <f t="shared" si="7"/>
        <v>3248348.13</v>
      </c>
      <c r="J28" s="46">
        <f t="shared" si="7"/>
        <v>1112843.3300000005</v>
      </c>
      <c r="K28" s="11">
        <f t="shared" si="7"/>
        <v>1201166.49</v>
      </c>
      <c r="L28" s="11">
        <f t="shared" si="7"/>
        <v>1583399.8799999994</v>
      </c>
      <c r="M28" s="11">
        <f t="shared" ref="M28:Q28" si="8">+M29+M30+M31+M32+M33+M34+M35+M36+M37</f>
        <v>5324036.9999999991</v>
      </c>
      <c r="N28" s="11">
        <f t="shared" si="8"/>
        <v>672145.01000000094</v>
      </c>
      <c r="O28" s="11">
        <f t="shared" si="8"/>
        <v>1559765.149999999</v>
      </c>
      <c r="P28" s="11">
        <f t="shared" si="8"/>
        <v>3295646.709999999</v>
      </c>
      <c r="Q28" s="11">
        <f t="shared" si="8"/>
        <v>0</v>
      </c>
      <c r="R28" s="11">
        <f t="shared" ref="R28" si="9">+R29+R30+R31+R32+R33+R34+R35+R36+R37</f>
        <v>22032842.43</v>
      </c>
    </row>
    <row r="29" spans="3:18">
      <c r="C29" s="3" t="s">
        <v>40</v>
      </c>
      <c r="D29" s="35">
        <v>1937000</v>
      </c>
      <c r="E29" s="40">
        <v>0</v>
      </c>
      <c r="F29" s="40">
        <v>0</v>
      </c>
      <c r="G29" s="40">
        <v>133860</v>
      </c>
      <c r="H29" s="36">
        <f>313862.3-G29</f>
        <v>180002.3</v>
      </c>
      <c r="I29" s="40">
        <f>322142.3-G29-H29</f>
        <v>8280</v>
      </c>
      <c r="J29" s="40">
        <f>434519.9-G29-H29-I29</f>
        <v>112377.60000000003</v>
      </c>
      <c r="K29" s="40">
        <f>713879.18-G29-H29-I29-J29</f>
        <v>279359.28000000003</v>
      </c>
      <c r="L29" s="40">
        <f>741299.18-G29-H29-I29-J29-K29</f>
        <v>27420</v>
      </c>
      <c r="M29" s="40">
        <f>779059.18-F29-G29-H29-I29-J29-K29-L29</f>
        <v>37760</v>
      </c>
      <c r="N29" s="40">
        <f>863999.18-G29-H29-I29-J29-K29-L29-M29</f>
        <v>84940.000000000058</v>
      </c>
      <c r="O29" s="40">
        <f>1070419.18-G29-H29-I29-J29-K29-L29-M29-N29</f>
        <v>206419.99999999971</v>
      </c>
      <c r="P29" s="40">
        <f>1273018.68-G29-H29-I29-J29-K29-L29-M29-N29-O29</f>
        <v>202599.5</v>
      </c>
      <c r="Q29" s="40">
        <v>0</v>
      </c>
      <c r="R29" s="40">
        <f>+F29+G29+H29+I29+J29+K29+L29+M29+N29+O29+P29+Q29</f>
        <v>1273018.68</v>
      </c>
    </row>
    <row r="30" spans="3:18" s="4" customFormat="1">
      <c r="C30" s="41" t="s">
        <v>41</v>
      </c>
      <c r="D30" s="42">
        <v>2187500</v>
      </c>
      <c r="E30" s="34">
        <v>0</v>
      </c>
      <c r="F30" s="43">
        <v>0</v>
      </c>
      <c r="G30" s="34">
        <v>0</v>
      </c>
      <c r="H30" s="34">
        <v>0</v>
      </c>
      <c r="I30" s="34">
        <v>0</v>
      </c>
      <c r="J30" s="40">
        <v>222.55</v>
      </c>
      <c r="K30" s="34">
        <f>65712.55-J30</f>
        <v>65490</v>
      </c>
      <c r="L30" s="34">
        <f>65712.55-J30-K30</f>
        <v>0</v>
      </c>
      <c r="M30" s="34">
        <f>1278339.55-F30-G30-H30-I30-J30-K30-L30</f>
        <v>1212627</v>
      </c>
      <c r="N30" s="34">
        <f>1434612.05-J30-K30-M30</f>
        <v>156272.5</v>
      </c>
      <c r="O30" s="34">
        <f>1434612.05-J30-K30-M30-N30</f>
        <v>0</v>
      </c>
      <c r="P30" s="34">
        <f>1569372.05-J30-K30-M30-N30</f>
        <v>134760</v>
      </c>
      <c r="Q30" s="34">
        <v>0</v>
      </c>
      <c r="R30" s="34">
        <f t="shared" ref="R30:R37" si="10">+F30+G30+H30+I30+J30+K30+L30+M30+N30+O30+P30+Q30</f>
        <v>1569372.05</v>
      </c>
    </row>
    <row r="31" spans="3:18">
      <c r="C31" s="3" t="s">
        <v>42</v>
      </c>
      <c r="D31" s="35">
        <v>3785300</v>
      </c>
      <c r="E31" s="12">
        <v>53100</v>
      </c>
      <c r="F31" s="17">
        <v>0</v>
      </c>
      <c r="G31" s="12">
        <v>0</v>
      </c>
      <c r="H31" s="36">
        <v>326152</v>
      </c>
      <c r="I31" s="12">
        <f>329069.85-H31</f>
        <v>2917.8499999999767</v>
      </c>
      <c r="J31" s="40">
        <f>653879.85-H31-I31</f>
        <v>324810</v>
      </c>
      <c r="K31" s="12">
        <f>962992.65-H31-I31-J31</f>
        <v>309112.80000000005</v>
      </c>
      <c r="L31" s="12">
        <f>1240682.05-H31-I31-J31-K31</f>
        <v>277689.40000000002</v>
      </c>
      <c r="M31" s="12">
        <f>1251032.05-F31-G31-H31-I31-J31-K31-L31</f>
        <v>10350</v>
      </c>
      <c r="N31" s="12">
        <f>1575590.9-H31-I31-J31-K31-L31-M31</f>
        <v>324558.84999999974</v>
      </c>
      <c r="O31" s="12">
        <f>1888221.7-H31-I31-J31-K31-L31-M31-N31</f>
        <v>312630.80000000028</v>
      </c>
      <c r="P31" s="12">
        <f>1905114.7-H31-I31-J31-K31-L31-M31-N31-O31</f>
        <v>16893</v>
      </c>
      <c r="Q31" s="12">
        <v>0</v>
      </c>
      <c r="R31" s="12">
        <f t="shared" si="10"/>
        <v>1905114.7000000002</v>
      </c>
    </row>
    <row r="32" spans="3:18">
      <c r="C32" s="3" t="s">
        <v>43</v>
      </c>
      <c r="D32" s="35">
        <v>215000</v>
      </c>
      <c r="E32" s="12">
        <v>0</v>
      </c>
      <c r="F32" s="17">
        <v>0</v>
      </c>
      <c r="G32" s="12">
        <v>0</v>
      </c>
      <c r="H32" s="35">
        <v>12744</v>
      </c>
      <c r="I32" s="12">
        <f>12744-H32</f>
        <v>0</v>
      </c>
      <c r="J32" s="40">
        <f>12744-H32</f>
        <v>0</v>
      </c>
      <c r="K32" s="12">
        <f>12744-H32</f>
        <v>0</v>
      </c>
      <c r="L32" s="12">
        <f>12744-H32</f>
        <v>0</v>
      </c>
      <c r="M32" s="12">
        <f>12744-F32-G32-H32-I32-J32-K32-L32</f>
        <v>0</v>
      </c>
      <c r="N32" s="12">
        <f>12744-H32</f>
        <v>0</v>
      </c>
      <c r="O32" s="12">
        <f>12744-H32</f>
        <v>0</v>
      </c>
      <c r="P32" s="12">
        <f>12744-H32</f>
        <v>0</v>
      </c>
      <c r="Q32" s="12">
        <v>0</v>
      </c>
      <c r="R32" s="12">
        <f t="shared" si="10"/>
        <v>12744</v>
      </c>
    </row>
    <row r="33" spans="3:18">
      <c r="C33" s="3" t="s">
        <v>44</v>
      </c>
      <c r="D33" s="35">
        <v>1800000</v>
      </c>
      <c r="E33" s="12">
        <v>0</v>
      </c>
      <c r="F33" s="17">
        <v>0</v>
      </c>
      <c r="G33" s="12">
        <v>0</v>
      </c>
      <c r="H33" s="12">
        <v>0</v>
      </c>
      <c r="I33" s="12">
        <v>1260</v>
      </c>
      <c r="J33" s="40">
        <f>69131.9-I33</f>
        <v>67871.899999999994</v>
      </c>
      <c r="K33" s="12">
        <f>69131.9-I33-J33</f>
        <v>0</v>
      </c>
      <c r="L33" s="12">
        <f>69131.9-I33-J33</f>
        <v>0</v>
      </c>
      <c r="M33" s="12">
        <f>69131.9-F33-G33-H33-I33-J33-K33-L33</f>
        <v>0</v>
      </c>
      <c r="N33" s="12">
        <f>69131.9-I33-J33</f>
        <v>0</v>
      </c>
      <c r="O33" s="12">
        <f>69131.9-H33-I33-J33</f>
        <v>0</v>
      </c>
      <c r="P33" s="12">
        <f>69590.9-I33-J33</f>
        <v>459</v>
      </c>
      <c r="Q33" s="12">
        <v>0</v>
      </c>
      <c r="R33" s="12">
        <f t="shared" si="10"/>
        <v>69590.899999999994</v>
      </c>
    </row>
    <row r="34" spans="3:18">
      <c r="C34" s="3" t="s">
        <v>45</v>
      </c>
      <c r="D34" s="35">
        <v>875916</v>
      </c>
      <c r="E34" s="12">
        <v>0</v>
      </c>
      <c r="F34" s="17">
        <v>0</v>
      </c>
      <c r="G34" s="12">
        <v>0</v>
      </c>
      <c r="H34" s="35">
        <v>1475</v>
      </c>
      <c r="I34" s="12">
        <f>12878.55-H34</f>
        <v>11403.55</v>
      </c>
      <c r="J34" s="40">
        <f>29908.47-H34-I34</f>
        <v>17029.920000000002</v>
      </c>
      <c r="K34" s="12">
        <f>36988.47-H34-I34-J34</f>
        <v>7080</v>
      </c>
      <c r="L34" s="12">
        <f>36988.47-H34-I34-J34-K34</f>
        <v>0</v>
      </c>
      <c r="M34" s="12">
        <f>36988.47-F34-G34-H34-I34-J34-K34-L34</f>
        <v>0</v>
      </c>
      <c r="N34" s="12">
        <f>36988.47-H34-I34-J34-K34</f>
        <v>0</v>
      </c>
      <c r="O34" s="12">
        <f>106710.06-H34-I34-J34-K34</f>
        <v>69721.59</v>
      </c>
      <c r="P34" s="12">
        <f>125334.36-H34-I34-J34-K34-O34</f>
        <v>18624.300000000003</v>
      </c>
      <c r="Q34" s="12">
        <v>0</v>
      </c>
      <c r="R34" s="12">
        <f t="shared" si="10"/>
        <v>125334.36</v>
      </c>
    </row>
    <row r="35" spans="3:18">
      <c r="C35" s="3" t="s">
        <v>46</v>
      </c>
      <c r="D35" s="35">
        <v>16789250</v>
      </c>
      <c r="E35" s="12">
        <v>0</v>
      </c>
      <c r="F35" s="17">
        <v>0</v>
      </c>
      <c r="G35" s="12">
        <v>0</v>
      </c>
      <c r="H35" s="36">
        <v>2740590.4</v>
      </c>
      <c r="I35" s="12">
        <f>5424865.39-H35</f>
        <v>2684274.9899999998</v>
      </c>
      <c r="J35" s="40">
        <f>5437336.36-H35-I35</f>
        <v>12470.970000000671</v>
      </c>
      <c r="K35" s="12">
        <f>5569732.36-H35-I35-J35</f>
        <v>132396</v>
      </c>
      <c r="L35" s="12">
        <f>5599100.68-H35-I35-J35-K35</f>
        <v>29368.319999999367</v>
      </c>
      <c r="M35" s="12">
        <f>9627000.68-F35-G35-H35-I35-J35-K35-L35</f>
        <v>4027899.9999999991</v>
      </c>
      <c r="N35" s="12">
        <f>9644110.88-H35-I35-J35-K35-L35-M35</f>
        <v>17110.200000001118</v>
      </c>
      <c r="O35" s="12">
        <f>9663888.5-H35-I35-J35-K35-L35-M35-N35</f>
        <v>19777.61999999918</v>
      </c>
      <c r="P35" s="12">
        <f>12351792.43-H35-I35-J35-K35-L35-M35-N35-O35</f>
        <v>2687903.9299999997</v>
      </c>
      <c r="Q35" s="12">
        <v>0</v>
      </c>
      <c r="R35" s="12">
        <f t="shared" si="10"/>
        <v>12351792.43</v>
      </c>
    </row>
    <row r="36" spans="3:18">
      <c r="C36" s="3" t="s">
        <v>47</v>
      </c>
      <c r="D36" s="34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40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>
      <c r="C37" s="3" t="s">
        <v>48</v>
      </c>
      <c r="D37" s="35">
        <v>13230720</v>
      </c>
      <c r="E37" s="12">
        <v>320140.45</v>
      </c>
      <c r="F37" s="17">
        <v>0</v>
      </c>
      <c r="G37" s="12">
        <v>0</v>
      </c>
      <c r="H37" s="36">
        <v>640667.03</v>
      </c>
      <c r="I37" s="12">
        <f>1180878.77-H37</f>
        <v>540211.74</v>
      </c>
      <c r="J37" s="40">
        <f>1758939.16-H37-I37</f>
        <v>578060.3899999999</v>
      </c>
      <c r="K37" s="12">
        <f>2166667.57-H37-I37-J37</f>
        <v>407728.40999999992</v>
      </c>
      <c r="L37" s="12">
        <f>3415589.73-H37-I37-J37-K37</f>
        <v>1248922.1600000001</v>
      </c>
      <c r="M37" s="12">
        <f>3450989.73-F37-G37-H37-I37-J37-K37-L37</f>
        <v>35400</v>
      </c>
      <c r="N37" s="12">
        <f>3540253.19-H37-I37-J37-K37-L37-M37</f>
        <v>89263.459999999963</v>
      </c>
      <c r="O37" s="12">
        <f>4491468.33-H37-I37-J37-K37-L37-M37-N37</f>
        <v>951215.13999999966</v>
      </c>
      <c r="P37" s="12">
        <f>4725875.31-H37-I37-J37-K37-L37-M37-N37-O37</f>
        <v>234406.97999999952</v>
      </c>
      <c r="Q37" s="12">
        <v>0</v>
      </c>
      <c r="R37" s="12">
        <f t="shared" si="10"/>
        <v>4725875.3099999996</v>
      </c>
    </row>
    <row r="38" spans="3:18">
      <c r="C38" s="2" t="s">
        <v>49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>
      <c r="C39" s="3" t="s">
        <v>50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>
      <c r="C40" s="3" t="s">
        <v>51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>
      <c r="C41" s="3" t="s">
        <v>52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>
      <c r="C42" s="3" t="s">
        <v>53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>
      <c r="C43" s="3" t="s">
        <v>54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>
      <c r="C44" s="3" t="s">
        <v>55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>
      <c r="C45" s="3" t="s">
        <v>56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>
      <c r="C46" s="3" t="s">
        <v>57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>
      <c r="C47" s="2" t="s">
        <v>58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>
      <c r="C48" s="3" t="s">
        <v>59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>
      <c r="C49" s="3" t="s">
        <v>60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>
      <c r="C50" s="3" t="s">
        <v>61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>
      <c r="C51" s="3" t="s">
        <v>62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>
      <c r="C52" s="3" t="s">
        <v>63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>
      <c r="C53" s="3" t="s">
        <v>64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>
      <c r="C54" s="2" t="s">
        <v>65</v>
      </c>
      <c r="D54" s="11">
        <f>+D55+D56+D57+D58+D59+D60+D61+D62+D63</f>
        <v>12175000</v>
      </c>
      <c r="E54" s="11">
        <f>+E55+E56+E57+E58+E59+E60+E61+E62+E63</f>
        <v>1152018719.26</v>
      </c>
      <c r="F54" s="19">
        <f t="shared" ref="F54:L54" si="17">+F55+F56+F57+F58+F59+F60+F61+F62+F63</f>
        <v>0</v>
      </c>
      <c r="G54" s="11">
        <f t="shared" si="17"/>
        <v>11708700</v>
      </c>
      <c r="H54" s="11">
        <f t="shared" si="17"/>
        <v>609083.84</v>
      </c>
      <c r="I54" s="11">
        <f t="shared" si="17"/>
        <v>79496.599999999977</v>
      </c>
      <c r="J54" s="11">
        <f t="shared" si="17"/>
        <v>92040</v>
      </c>
      <c r="K54" s="11">
        <f t="shared" si="17"/>
        <v>41971.830000000075</v>
      </c>
      <c r="L54" s="11">
        <f t="shared" si="17"/>
        <v>816518.62</v>
      </c>
      <c r="M54" s="11">
        <f t="shared" ref="M54:Q54" si="18">+M55+M56+M57+M58+M59+M60+M61+M62+M63</f>
        <v>82952.820000000007</v>
      </c>
      <c r="N54" s="11">
        <f t="shared" si="18"/>
        <v>384346125.30000001</v>
      </c>
      <c r="O54" s="11">
        <f t="shared" si="18"/>
        <v>79036.400000000373</v>
      </c>
      <c r="P54" s="11">
        <f t="shared" si="18"/>
        <v>39300098.170000002</v>
      </c>
      <c r="Q54" s="11">
        <f t="shared" si="18"/>
        <v>0</v>
      </c>
      <c r="R54" s="11">
        <f t="shared" ref="R54" si="19">+R55+R56+R57+R58+R59+R60+R61+R62+R63</f>
        <v>437156023.57999998</v>
      </c>
    </row>
    <row r="55" spans="3:18">
      <c r="C55" s="3" t="s">
        <v>66</v>
      </c>
      <c r="D55" s="35">
        <v>2975000</v>
      </c>
      <c r="E55" s="40">
        <v>409119.26</v>
      </c>
      <c r="F55" s="18">
        <v>0</v>
      </c>
      <c r="G55" s="36">
        <v>0</v>
      </c>
      <c r="H55" s="45">
        <v>609083.84</v>
      </c>
      <c r="I55" s="36">
        <f>688580.44-H55</f>
        <v>79496.599999999977</v>
      </c>
      <c r="J55" s="13">
        <f>688580.44-H55-I55</f>
        <v>0</v>
      </c>
      <c r="K55" s="40">
        <f>730552.27-H55-I55</f>
        <v>41971.830000000075</v>
      </c>
      <c r="L55" s="13">
        <f>730552.27-H55-I55-K55</f>
        <v>0</v>
      </c>
      <c r="M55" s="40">
        <f>744710.15-F55-G55-H55-I55-J55-K55-L55</f>
        <v>14157.880000000005</v>
      </c>
      <c r="N55" s="40">
        <f>1834835.45-H55-I55-K55-M55</f>
        <v>1090125.2999999998</v>
      </c>
      <c r="O55" s="40">
        <f>1913871.85+G55-H55-I55-K55-M55-N55</f>
        <v>79036.400000000373</v>
      </c>
      <c r="P55" s="40">
        <f>1952221.85-H55-I55-K55-M55-N55-O55</f>
        <v>38350</v>
      </c>
      <c r="Q55" s="40">
        <v>0</v>
      </c>
      <c r="R55" s="40">
        <f>+F55+G55+H55+I55+J55+K55+L55+M55+N55+O55+P55+Q55</f>
        <v>1952221.85</v>
      </c>
    </row>
    <row r="56" spans="3:18">
      <c r="C56" s="3" t="s">
        <v>67</v>
      </c>
      <c r="D56" s="35">
        <v>500000</v>
      </c>
      <c r="E56" s="12">
        <v>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f>68794.94-F56-G56-H56-I56-J56-K56-L56</f>
        <v>68794.94</v>
      </c>
      <c r="N56" s="12">
        <f>68794.94-M56</f>
        <v>0</v>
      </c>
      <c r="O56" s="12">
        <f>68794.94-M56</f>
        <v>0</v>
      </c>
      <c r="P56" s="12">
        <f>68794.94-M56</f>
        <v>0</v>
      </c>
      <c r="Q56" s="12">
        <v>0</v>
      </c>
      <c r="R56" s="12">
        <f t="shared" ref="R56:R63" si="20">+F56+G56+H56+I56+J56+K56+L56+M56+N56+O56+P56+Q56</f>
        <v>68794.94</v>
      </c>
    </row>
    <row r="57" spans="3:18">
      <c r="C57" s="3" t="s">
        <v>68</v>
      </c>
      <c r="D57" s="34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>
      <c r="C58" s="3" t="s">
        <v>69</v>
      </c>
      <c r="D58" s="34">
        <v>0</v>
      </c>
      <c r="E58" s="12">
        <v>11708700</v>
      </c>
      <c r="F58" s="18">
        <v>0</v>
      </c>
      <c r="G58" s="36">
        <v>11708700</v>
      </c>
      <c r="H58" s="13">
        <v>0</v>
      </c>
      <c r="I58" s="13">
        <v>0</v>
      </c>
      <c r="J58" s="13">
        <v>0</v>
      </c>
      <c r="K58" s="13">
        <f>11708700-G58</f>
        <v>0</v>
      </c>
      <c r="L58" s="13">
        <f>11708700-G58</f>
        <v>0</v>
      </c>
      <c r="M58" s="13">
        <f>11708700-F58-G58-H58-I58-J58-K58-L58</f>
        <v>0</v>
      </c>
      <c r="N58" s="13">
        <f>11708700-G58</f>
        <v>0</v>
      </c>
      <c r="O58" s="13">
        <f>11708700-G58</f>
        <v>0</v>
      </c>
      <c r="P58" s="12">
        <f>11733848.17-G58</f>
        <v>25148.169999999925</v>
      </c>
      <c r="Q58" s="13">
        <v>0</v>
      </c>
      <c r="R58" s="12">
        <f t="shared" si="20"/>
        <v>11733848.17</v>
      </c>
    </row>
    <row r="59" spans="3:18">
      <c r="C59" s="3" t="s">
        <v>70</v>
      </c>
      <c r="D59" s="35">
        <v>3700000</v>
      </c>
      <c r="E59" s="12">
        <v>0</v>
      </c>
      <c r="F59" s="18">
        <v>0</v>
      </c>
      <c r="G59" s="13">
        <v>0</v>
      </c>
      <c r="H59" s="13">
        <v>0</v>
      </c>
      <c r="I59" s="12">
        <v>0</v>
      </c>
      <c r="J59" s="12">
        <f>92040</f>
        <v>92040</v>
      </c>
      <c r="K59" s="13">
        <f>92040-J59</f>
        <v>0</v>
      </c>
      <c r="L59" s="12">
        <f>908558.62-J59</f>
        <v>816518.62</v>
      </c>
      <c r="M59" s="12">
        <f>908558.62-F59-G59-H59-I59-J59-K59-L59</f>
        <v>0</v>
      </c>
      <c r="N59" s="12">
        <f>908558.62-J59-L59</f>
        <v>0</v>
      </c>
      <c r="O59" s="13">
        <f>908558.62-J59-L59</f>
        <v>0</v>
      </c>
      <c r="P59" s="12">
        <f>908558.62-J59-L59</f>
        <v>0</v>
      </c>
      <c r="Q59" s="12">
        <v>0</v>
      </c>
      <c r="R59" s="12">
        <f t="shared" si="20"/>
        <v>908558.62</v>
      </c>
    </row>
    <row r="60" spans="3:18">
      <c r="C60" s="3" t="s">
        <v>71</v>
      </c>
      <c r="D60" s="34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>
      <c r="C61" s="3" t="s">
        <v>72</v>
      </c>
      <c r="D61" s="34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>
      <c r="C62" s="3" t="s">
        <v>73</v>
      </c>
      <c r="D62" s="34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>
      <c r="C63" s="3" t="s">
        <v>74</v>
      </c>
      <c r="D63" s="35">
        <v>5000000</v>
      </c>
      <c r="E63" s="12">
        <f>39900900+1100000000</f>
        <v>1139900900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383256000</v>
      </c>
      <c r="O63" s="12">
        <f>383256000-N63</f>
        <v>0</v>
      </c>
      <c r="P63" s="12">
        <f>422492600-N63</f>
        <v>39236600</v>
      </c>
      <c r="Q63" s="12">
        <v>0</v>
      </c>
      <c r="R63" s="12">
        <f t="shared" si="20"/>
        <v>422492600</v>
      </c>
    </row>
    <row r="64" spans="3:18">
      <c r="C64" s="2" t="s">
        <v>75</v>
      </c>
      <c r="D64" s="11">
        <f>+D65+D66+D67+D68</f>
        <v>55407101</v>
      </c>
      <c r="E64" s="11">
        <f>+E65+E66+E67+E68</f>
        <v>360000000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13166723.109999999</v>
      </c>
      <c r="K64" s="11">
        <f t="shared" si="21"/>
        <v>4118897.41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23361251.900000002</v>
      </c>
      <c r="O64" s="11">
        <f t="shared" si="22"/>
        <v>0</v>
      </c>
      <c r="P64" s="11">
        <f t="shared" si="22"/>
        <v>28959755.030000005</v>
      </c>
      <c r="Q64" s="11">
        <f t="shared" si="22"/>
        <v>0</v>
      </c>
      <c r="R64" s="11">
        <f t="shared" ref="R64" si="23">+R65+R66+R67+R68</f>
        <v>69606627.450000003</v>
      </c>
    </row>
    <row r="65" spans="3:18">
      <c r="C65" s="3" t="s">
        <v>76</v>
      </c>
      <c r="D65" s="38">
        <v>55407101</v>
      </c>
      <c r="E65" s="12">
        <v>360000000</v>
      </c>
      <c r="F65" s="18">
        <v>0</v>
      </c>
      <c r="G65" s="13">
        <v>0</v>
      </c>
      <c r="H65" s="12">
        <v>0</v>
      </c>
      <c r="I65" s="12">
        <v>0</v>
      </c>
      <c r="J65" s="12">
        <f>13166723.11</f>
        <v>13166723.109999999</v>
      </c>
      <c r="K65" s="12">
        <f>17285620.52-J65</f>
        <v>4118897.41</v>
      </c>
      <c r="L65" s="12">
        <f>17285620.52-J65-K65</f>
        <v>0</v>
      </c>
      <c r="M65" s="12">
        <f>17285620.52-F65-G65-H65-I65-J65-K65-L65</f>
        <v>0</v>
      </c>
      <c r="N65" s="12">
        <f>40646872.42+-J65-K65</f>
        <v>23361251.900000002</v>
      </c>
      <c r="O65" s="12">
        <f>40646872.42-J65-K65-N65</f>
        <v>0</v>
      </c>
      <c r="P65" s="12">
        <f>69606627.45-J65-K65-N65</f>
        <v>28959755.030000005</v>
      </c>
      <c r="Q65" s="12">
        <v>0</v>
      </c>
      <c r="R65" s="12">
        <f>+F65+G65+H65+I65+J65+K65+L65+M65+N65+O65+P65+Q65</f>
        <v>69606627.450000003</v>
      </c>
    </row>
    <row r="66" spans="3:18">
      <c r="C66" s="3" t="s">
        <v>77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>
      <c r="C67" s="3" t="s">
        <v>78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>
      <c r="C68" s="3" t="s">
        <v>79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>
      <c r="C69" s="2" t="s">
        <v>80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>
      <c r="C70" s="3" t="s">
        <v>81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>
      <c r="C71" s="3" t="s">
        <v>82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>
      <c r="C72" s="2" t="s">
        <v>83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>
      <c r="C73" s="3" t="s">
        <v>84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>
      <c r="C74" s="3" t="s">
        <v>85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>
      <c r="C75" s="3" t="s">
        <v>86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>
      <c r="C76" s="10" t="s">
        <v>87</v>
      </c>
      <c r="D76" s="15">
        <f>+D12+D18+D28+D38+D46+D54+D64+D69+D72</f>
        <v>1128343962</v>
      </c>
      <c r="E76" s="15">
        <f>+E12+E18+E28+E38+E46+E54+E64+E69+E72</f>
        <v>1532498307.27</v>
      </c>
      <c r="F76" s="20">
        <f t="shared" ref="F76:L76" si="32">+F12+F18+F28+F38+F46+F54+F64+F69+F72</f>
        <v>64819230.840000004</v>
      </c>
      <c r="G76" s="15">
        <f t="shared" si="32"/>
        <v>76090242.549999997</v>
      </c>
      <c r="H76" s="15">
        <f t="shared" si="32"/>
        <v>74645182.900000021</v>
      </c>
      <c r="I76" s="15">
        <f t="shared" si="32"/>
        <v>109200219.83999997</v>
      </c>
      <c r="J76" s="15">
        <f t="shared" si="32"/>
        <v>76411482.62000002</v>
      </c>
      <c r="K76" s="15">
        <f t="shared" si="32"/>
        <v>68380448.979999989</v>
      </c>
      <c r="L76" s="15">
        <f t="shared" si="32"/>
        <v>60745110.340000004</v>
      </c>
      <c r="M76" s="15">
        <f t="shared" ref="M76:Q76" si="33">+M12+M18+M28+M38+M46+M54+M64+M69+M72</f>
        <v>65472831.050000012</v>
      </c>
      <c r="N76" s="15">
        <f t="shared" si="33"/>
        <v>485007004.46000004</v>
      </c>
      <c r="O76" s="15">
        <f t="shared" si="33"/>
        <v>105466454.11999989</v>
      </c>
      <c r="P76" s="15">
        <f t="shared" si="33"/>
        <v>183606615.86000004</v>
      </c>
      <c r="Q76" s="15">
        <f t="shared" si="33"/>
        <v>0</v>
      </c>
      <c r="R76" s="15">
        <f t="shared" ref="R76" si="34">+R12+R18+R28+R38+R46+R54+R64+R69+R72</f>
        <v>1369844823.5599999</v>
      </c>
    </row>
    <row r="77" spans="3:18">
      <c r="C77" s="37" t="s">
        <v>88</v>
      </c>
      <c r="D77" s="22">
        <f>+D78+D81+D84</f>
        <v>0</v>
      </c>
      <c r="E77" s="23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>
      <c r="C78" s="2" t="s">
        <v>89</v>
      </c>
      <c r="D78" s="24">
        <f>+D79+D80</f>
        <v>0</v>
      </c>
      <c r="E78" s="23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>
      <c r="C79" s="3" t="s">
        <v>90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>
      <c r="C80" s="3" t="s">
        <v>91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>
      <c r="C81" s="2" t="s">
        <v>92</v>
      </c>
      <c r="D81" s="24">
        <f>+D82+D83</f>
        <v>0</v>
      </c>
      <c r="E81" s="23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>
      <c r="C82" s="3" t="s">
        <v>93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>
      <c r="C83" s="3" t="s">
        <v>94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>
      <c r="C84" s="2" t="s">
        <v>95</v>
      </c>
      <c r="D84" s="24">
        <f>+D85</f>
        <v>0</v>
      </c>
      <c r="E84" s="23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>
      <c r="C85" s="3" t="s">
        <v>96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>
      <c r="C86" s="28" t="s">
        <v>97</v>
      </c>
      <c r="D86" s="32">
        <f>+D76+D77</f>
        <v>1128343962</v>
      </c>
      <c r="E86" s="32">
        <f>+E76+E77</f>
        <v>1532498307.27</v>
      </c>
      <c r="F86" s="27">
        <f t="shared" ref="F86:R86" si="39">+F76+F77</f>
        <v>64819230.840000004</v>
      </c>
      <c r="G86" s="27">
        <f t="shared" si="39"/>
        <v>76090242.549999997</v>
      </c>
      <c r="H86" s="27">
        <f t="shared" si="39"/>
        <v>74645182.900000021</v>
      </c>
      <c r="I86" s="27">
        <f t="shared" si="39"/>
        <v>109200219.83999997</v>
      </c>
      <c r="J86" s="27">
        <f t="shared" si="39"/>
        <v>76411482.62000002</v>
      </c>
      <c r="K86" s="27">
        <f t="shared" si="39"/>
        <v>68380448.979999989</v>
      </c>
      <c r="L86" s="27">
        <f t="shared" si="39"/>
        <v>60745110.340000004</v>
      </c>
      <c r="M86" s="27">
        <f t="shared" si="39"/>
        <v>65472831.050000012</v>
      </c>
      <c r="N86" s="27">
        <f t="shared" si="39"/>
        <v>485007004.46000004</v>
      </c>
      <c r="O86" s="27">
        <f t="shared" si="39"/>
        <v>105466454.11999989</v>
      </c>
      <c r="P86" s="27">
        <f t="shared" si="39"/>
        <v>183606615.86000004</v>
      </c>
      <c r="Q86" s="27">
        <f t="shared" si="39"/>
        <v>0</v>
      </c>
      <c r="R86" s="27">
        <f t="shared" si="39"/>
        <v>1369844823.5599999</v>
      </c>
    </row>
    <row r="88" spans="3:18" ht="15.75" thickBot="1">
      <c r="E88" s="47"/>
      <c r="J88" s="39"/>
    </row>
    <row r="89" spans="3:18" ht="15.75" thickBot="1">
      <c r="C89" s="9" t="s">
        <v>98</v>
      </c>
      <c r="E89" s="47"/>
      <c r="F89" s="47"/>
      <c r="G89" s="36"/>
      <c r="J89" s="36"/>
    </row>
    <row r="90" spans="3:18" ht="30.75" thickBot="1">
      <c r="C90" s="33" t="s">
        <v>99</v>
      </c>
      <c r="J90" s="39"/>
    </row>
    <row r="91" spans="3:18" ht="75.75" thickBot="1">
      <c r="C91" s="8" t="s">
        <v>100</v>
      </c>
      <c r="G91" s="36"/>
    </row>
    <row r="92" spans="3:18">
      <c r="G92" s="39"/>
    </row>
    <row r="97" spans="3:18">
      <c r="C97" s="29" t="s">
        <v>101</v>
      </c>
      <c r="E97" s="30"/>
      <c r="F97" s="29" t="s">
        <v>102</v>
      </c>
      <c r="G97" s="29"/>
      <c r="H97" s="29"/>
      <c r="I97" s="29"/>
      <c r="J97" s="31"/>
      <c r="K97" s="30"/>
      <c r="L97" s="29"/>
      <c r="M97" s="29" t="s">
        <v>103</v>
      </c>
      <c r="N97" s="29"/>
      <c r="O97" s="30"/>
      <c r="P97" s="30"/>
      <c r="Q97" s="30"/>
      <c r="R97" s="30"/>
    </row>
    <row r="98" spans="3:18">
      <c r="C98" s="31" t="s">
        <v>104</v>
      </c>
      <c r="F98" s="31"/>
      <c r="G98" s="31" t="s">
        <v>105</v>
      </c>
      <c r="H98" s="31"/>
      <c r="I98" s="31"/>
      <c r="J98" s="31"/>
      <c r="K98" s="31"/>
      <c r="L98" s="31"/>
      <c r="M98" s="31"/>
      <c r="N98" s="31" t="s">
        <v>106</v>
      </c>
      <c r="O98" s="31"/>
      <c r="P98" s="31"/>
    </row>
    <row r="99" spans="3:18"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3:18"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10" spans="3:18">
      <c r="E110" s="47">
        <f>20000000+360000000+39900900+1100000000+934593+14162814.27</f>
        <v>1534998307.27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2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/>
  <cp:revision/>
  <dcterms:created xsi:type="dcterms:W3CDTF">2021-07-29T18:58:50Z</dcterms:created>
  <dcterms:modified xsi:type="dcterms:W3CDTF">2025-12-12T19:20:36Z</dcterms:modified>
  <cp:category/>
  <cp:contentStatus/>
</cp:coreProperties>
</file>