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Master BN\informaciones de diciembre 2025\Presupuesto Aprobado 2026 y Programacion-Indicativa-anual-Metas-Fisicas- Financieras-2026\"/>
    </mc:Choice>
  </mc:AlternateContent>
  <xr:revisionPtr revIDLastSave="0" documentId="8_{8B837909-3E78-4635-B487-E89044BD9B01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2" l="1"/>
  <c r="Q27" i="2"/>
  <c r="Q16" i="2"/>
  <c r="P63" i="2" l="1"/>
  <c r="Q63" i="2" s="1"/>
  <c r="P58" i="2"/>
  <c r="Q58" i="2" s="1"/>
  <c r="P32" i="2" l="1"/>
  <c r="P27" i="2" l="1"/>
  <c r="P22" i="2" l="1"/>
  <c r="Q22" i="2" s="1"/>
  <c r="P16" i="2"/>
  <c r="E13" i="2" l="1"/>
  <c r="E110" i="2"/>
  <c r="E63" i="2"/>
  <c r="O63" i="2"/>
  <c r="O58" i="2"/>
  <c r="O32" i="2"/>
  <c r="O27" i="2"/>
  <c r="O16" i="2"/>
  <c r="N58" i="2" l="1"/>
  <c r="N32" i="2" l="1"/>
  <c r="N27" i="2"/>
  <c r="N22" i="2"/>
  <c r="M56" i="2" l="1"/>
  <c r="P56" i="2" l="1"/>
  <c r="Q56" i="2"/>
  <c r="O56" i="2"/>
  <c r="N56" i="2"/>
  <c r="L58" i="2" l="1"/>
  <c r="L32" i="2"/>
  <c r="L27" i="2"/>
  <c r="L22" i="2"/>
  <c r="I55" i="2"/>
  <c r="J55" i="2" l="1"/>
  <c r="K55" i="2"/>
  <c r="L55" i="2" s="1"/>
  <c r="H21" i="2"/>
  <c r="K58" i="2"/>
  <c r="M58" i="2" s="1"/>
  <c r="K32" i="2"/>
  <c r="K30" i="2"/>
  <c r="K27" i="2"/>
  <c r="M27" i="2" s="1"/>
  <c r="I26" i="2"/>
  <c r="J65" i="2"/>
  <c r="J59" i="2"/>
  <c r="J33" i="2"/>
  <c r="J32" i="2"/>
  <c r="K33" i="2" l="1"/>
  <c r="P33" i="2"/>
  <c r="Q33" i="2" s="1"/>
  <c r="M55" i="2"/>
  <c r="N55" i="2" s="1"/>
  <c r="O55" i="2" s="1"/>
  <c r="K65" i="2"/>
  <c r="O33" i="2"/>
  <c r="N33" i="2"/>
  <c r="L59" i="2"/>
  <c r="N59" i="2" s="1"/>
  <c r="L33" i="2"/>
  <c r="K59" i="2"/>
  <c r="L30" i="2"/>
  <c r="M30" i="2" s="1"/>
  <c r="J26" i="2"/>
  <c r="J23" i="2"/>
  <c r="J22" i="2"/>
  <c r="I37" i="2"/>
  <c r="I35" i="2"/>
  <c r="I34" i="2"/>
  <c r="I32" i="2"/>
  <c r="M32" i="2" s="1"/>
  <c r="I31" i="2"/>
  <c r="I25" i="2"/>
  <c r="I23" i="2"/>
  <c r="I20" i="2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P55" i="2" l="1"/>
  <c r="Q55" i="2" s="1"/>
  <c r="L65" i="2"/>
  <c r="M65" i="2" s="1"/>
  <c r="P59" i="2"/>
  <c r="M59" i="2"/>
  <c r="N65" i="2"/>
  <c r="P65" i="2" s="1"/>
  <c r="Q59" i="2"/>
  <c r="M33" i="2"/>
  <c r="H17" i="2"/>
  <c r="I17" i="2" s="1"/>
  <c r="J17" i="2" s="1"/>
  <c r="O59" i="2"/>
  <c r="E77" i="2"/>
  <c r="D76" i="2"/>
  <c r="M22" i="2"/>
  <c r="O22" i="2" s="1"/>
  <c r="N23" i="2"/>
  <c r="O23" i="2" s="1"/>
  <c r="H19" i="2"/>
  <c r="I19" i="2" s="1"/>
  <c r="H24" i="2"/>
  <c r="I24" i="2" s="1"/>
  <c r="N30" i="2"/>
  <c r="J35" i="2"/>
  <c r="J37" i="2"/>
  <c r="K37" i="2" s="1"/>
  <c r="J34" i="2"/>
  <c r="L23" i="2"/>
  <c r="K23" i="2"/>
  <c r="H13" i="2"/>
  <c r="J20" i="2"/>
  <c r="L20" i="2"/>
  <c r="H14" i="2"/>
  <c r="I14" i="2" s="1"/>
  <c r="J31" i="2"/>
  <c r="K31" i="2" s="1"/>
  <c r="J25" i="2"/>
  <c r="K25" i="2" s="1"/>
  <c r="K26" i="2"/>
  <c r="I21" i="2"/>
  <c r="D77" i="2"/>
  <c r="O65" i="2" l="1"/>
  <c r="Q65" i="2"/>
  <c r="P23" i="2"/>
  <c r="Q23" i="2" s="1"/>
  <c r="O30" i="2"/>
  <c r="P30" i="2"/>
  <c r="Q30" i="2" s="1"/>
  <c r="K17" i="2"/>
  <c r="J24" i="2"/>
  <c r="K24" i="2" s="1"/>
  <c r="L24" i="2" s="1"/>
  <c r="D86" i="2"/>
  <c r="M23" i="2"/>
  <c r="M20" i="2"/>
  <c r="J19" i="2"/>
  <c r="K34" i="2"/>
  <c r="K35" i="2"/>
  <c r="L31" i="2"/>
  <c r="M31" i="2" s="1"/>
  <c r="L37" i="2"/>
  <c r="J21" i="2"/>
  <c r="K21" i="2"/>
  <c r="L21" i="2" s="1"/>
  <c r="I13" i="2"/>
  <c r="J14" i="2"/>
  <c r="L26" i="2"/>
  <c r="H12" i="2"/>
  <c r="L25" i="2"/>
  <c r="L34" i="2" l="1"/>
  <c r="L35" i="2"/>
  <c r="M35" i="2" s="1"/>
  <c r="N25" i="2"/>
  <c r="K19" i="2"/>
  <c r="N20" i="2"/>
  <c r="O20" i="2" s="1"/>
  <c r="P20" i="2" s="1"/>
  <c r="L17" i="2"/>
  <c r="M17" i="2" s="1"/>
  <c r="M26" i="2"/>
  <c r="N26" i="2"/>
  <c r="M25" i="2"/>
  <c r="O25" i="2"/>
  <c r="M24" i="2"/>
  <c r="J13" i="2"/>
  <c r="K13" i="2" s="1"/>
  <c r="L13" i="2" s="1"/>
  <c r="K14" i="2"/>
  <c r="N31" i="2"/>
  <c r="N34" i="2"/>
  <c r="O34" i="2"/>
  <c r="P34" i="2" s="1"/>
  <c r="M37" i="2"/>
  <c r="N37" i="2" s="1"/>
  <c r="M34" i="2"/>
  <c r="M21" i="2"/>
  <c r="Q34" i="2" l="1"/>
  <c r="R34" i="2" s="1"/>
  <c r="Q20" i="2"/>
  <c r="L19" i="2"/>
  <c r="P25" i="2"/>
  <c r="Q25" i="2" s="1"/>
  <c r="R25" i="2" s="1"/>
  <c r="N35" i="2"/>
  <c r="O26" i="2"/>
  <c r="P26" i="2" s="1"/>
  <c r="Q26" i="2" s="1"/>
  <c r="O31" i="2"/>
  <c r="P31" i="2"/>
  <c r="N21" i="2"/>
  <c r="O21" i="2" s="1"/>
  <c r="P21" i="2"/>
  <c r="Q21" i="2" s="1"/>
  <c r="N17" i="2"/>
  <c r="O17" i="2" s="1"/>
  <c r="O35" i="2"/>
  <c r="O37" i="2"/>
  <c r="L14" i="2"/>
  <c r="N24" i="2"/>
  <c r="M13" i="2"/>
  <c r="N13" i="2" s="1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6" i="2"/>
  <c r="R20" i="2"/>
  <c r="R22" i="2"/>
  <c r="R23" i="2"/>
  <c r="R27" i="2"/>
  <c r="R15" i="2"/>
  <c r="R16" i="2"/>
  <c r="Q84" i="2"/>
  <c r="Q81" i="2"/>
  <c r="Q78" i="2"/>
  <c r="Q72" i="2"/>
  <c r="Q69" i="2"/>
  <c r="Q64" i="2"/>
  <c r="Q54" i="2"/>
  <c r="Q46" i="2"/>
  <c r="Q38" i="2"/>
  <c r="P84" i="2"/>
  <c r="P81" i="2"/>
  <c r="P78" i="2"/>
  <c r="P72" i="2"/>
  <c r="P69" i="2"/>
  <c r="P64" i="2"/>
  <c r="P54" i="2"/>
  <c r="P46" i="2"/>
  <c r="P38" i="2"/>
  <c r="O84" i="2"/>
  <c r="O81" i="2"/>
  <c r="O78" i="2"/>
  <c r="O72" i="2"/>
  <c r="O69" i="2"/>
  <c r="O64" i="2"/>
  <c r="O54" i="2"/>
  <c r="O46" i="2"/>
  <c r="O38" i="2"/>
  <c r="N84" i="2"/>
  <c r="N81" i="2"/>
  <c r="N78" i="2"/>
  <c r="N72" i="2"/>
  <c r="N69" i="2"/>
  <c r="N64" i="2"/>
  <c r="N54" i="2"/>
  <c r="N46" i="2"/>
  <c r="N38" i="2"/>
  <c r="M84" i="2"/>
  <c r="M81" i="2"/>
  <c r="M78" i="2"/>
  <c r="M72" i="2"/>
  <c r="M69" i="2"/>
  <c r="M64" i="2"/>
  <c r="M54" i="2"/>
  <c r="M46" i="2"/>
  <c r="M38" i="2"/>
  <c r="P17" i="2" l="1"/>
  <c r="Q17" i="2"/>
  <c r="R21" i="2"/>
  <c r="M14" i="2"/>
  <c r="M12" i="2" s="1"/>
  <c r="M19" i="2"/>
  <c r="N19" i="2"/>
  <c r="O19" i="2" s="1"/>
  <c r="Q31" i="2"/>
  <c r="R31" i="2" s="1"/>
  <c r="O24" i="2"/>
  <c r="P24" i="2"/>
  <c r="P37" i="2"/>
  <c r="Q37" i="2" s="1"/>
  <c r="R26" i="2"/>
  <c r="P35" i="2"/>
  <c r="R17" i="2"/>
  <c r="O13" i="2"/>
  <c r="R72" i="2"/>
  <c r="R78" i="2"/>
  <c r="M77" i="2"/>
  <c r="R69" i="2"/>
  <c r="O77" i="2"/>
  <c r="Q77" i="2"/>
  <c r="N77" i="2"/>
  <c r="P77" i="2"/>
  <c r="R54" i="2"/>
  <c r="R81" i="2"/>
  <c r="R64" i="2"/>
  <c r="R38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O18" i="2" l="1"/>
  <c r="N18" i="2"/>
  <c r="Q35" i="2"/>
  <c r="R35" i="2" s="1"/>
  <c r="M18" i="2"/>
  <c r="P19" i="2"/>
  <c r="Q19" i="2" s="1"/>
  <c r="N14" i="2"/>
  <c r="N12" i="2" s="1"/>
  <c r="R37" i="2"/>
  <c r="Q24" i="2"/>
  <c r="R24" i="2" s="1"/>
  <c r="P13" i="2"/>
  <c r="Q13" i="2" s="1"/>
  <c r="K77" i="2"/>
  <c r="R77" i="2"/>
  <c r="F77" i="2"/>
  <c r="H77" i="2"/>
  <c r="L77" i="2"/>
  <c r="J77" i="2"/>
  <c r="G77" i="2"/>
  <c r="R46" i="2"/>
  <c r="I77" i="2"/>
  <c r="F76" i="2"/>
  <c r="P18" i="2" l="1"/>
  <c r="Q18" i="2"/>
  <c r="R19" i="2"/>
  <c r="R18" i="2" s="1"/>
  <c r="O14" i="2"/>
  <c r="P14" i="2" s="1"/>
  <c r="P12" i="2" s="1"/>
  <c r="R13" i="2"/>
  <c r="F86" i="2"/>
  <c r="O12" i="2" l="1"/>
  <c r="Q14" i="2"/>
  <c r="Q12" i="2" s="1"/>
  <c r="R14" i="2" l="1"/>
  <c r="R12" i="2" s="1"/>
  <c r="G28" i="2" l="1"/>
  <c r="G76" i="2" s="1"/>
  <c r="G86" i="2" s="1"/>
  <c r="H29" i="2"/>
  <c r="I29" i="2" l="1"/>
  <c r="I28" i="2" s="1"/>
  <c r="I76" i="2" s="1"/>
  <c r="I86" i="2" s="1"/>
  <c r="H28" i="2"/>
  <c r="H76" i="2" s="1"/>
  <c r="H86" i="2" s="1"/>
  <c r="J29" i="2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N29" i="2" l="1"/>
  <c r="N28" i="2" s="1"/>
  <c r="N76" i="2" s="1"/>
  <c r="N86" i="2" s="1"/>
  <c r="O29" i="2" l="1"/>
  <c r="P29" i="2" s="1"/>
  <c r="P28" i="2" s="1"/>
  <c r="P76" i="2" s="1"/>
  <c r="P86" i="2" s="1"/>
  <c r="Q29" i="2" l="1"/>
  <c r="Q28" i="2" s="1"/>
  <c r="Q76" i="2" s="1"/>
  <c r="Q86" i="2" s="1"/>
  <c r="O28" i="2"/>
  <c r="O76" i="2" s="1"/>
  <c r="O86" i="2" s="1"/>
  <c r="R29" i="2"/>
  <c r="R28" i="2" s="1"/>
  <c r="E12" i="2"/>
  <c r="E76" i="2" s="1"/>
  <c r="E86" i="2" s="1"/>
  <c r="R76" i="2" l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<sst xmlns="http://schemas.openxmlformats.org/spreadsheetml/2006/main" count="107" uniqueCount="107">
  <si>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</si>
  <si>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</si>
  <si>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</si>
  <si>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</si>
  <si>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</si>
  <si>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</si>
  <si>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</si>
  <si>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</si>
  <si>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</si>
  <si>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</si>
  <si>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</si>
  <si>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</si>
  <si>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</si>
  <si>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</si>
  <si>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</si>
  <si>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</si>
  <si>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</si>
  <si>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</si>
  <si>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</si>
  <si>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</si>
  <si>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</si>
  <si>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</si>
  <si>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</si>
  <si>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</si>
  <si>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</si>
  <si>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</si>
  <si>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</si>
  <si>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</si>
  <si>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</si>
  <si>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</si>
  <si>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</si>
  <si>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</si>
  <si>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</si>
  <si>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</si>
  <si>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</si>
  <si>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</si>
  <si>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</si>
  <si>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</si>
  <si>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</si>
  <si>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</si>
  <si>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</si>
  <si>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</si>
  <si>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</si>
  <si>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</si>
  <si>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</si>
  <si>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</si>
  <si>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</si>
  <si>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</si>
  <si>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</si>
  <si>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</si>
  <si>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</si>
  <si>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</si>
  <si>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</si>
  <si>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</si>
  <si>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</si>
  <si>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</si>
  <si>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</si>
  <si>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</si>
  <si>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</si>
  <si>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</si>
  <si>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</si>
  <si>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</si>
  <si>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</si>
  <si>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</si>
  <si>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</si>
  <si>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</si>
  <si>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</si>
  <si>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</si>
  <si>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</si>
  <si>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</si>
  <si>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</si>
  <si>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</si>
  <si>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</si>
  <si>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</si>
  <si>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</si>
  <si>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</si>
  <si>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</si>
  <si>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</si>
  <si>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</si>
  <si>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</si>
  <si>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</si>
  <si>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</si>
  <si>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</si>
  <si>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</si>
  <si>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</si>
  <si>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</si>
  <si>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</si>
  <si>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</si>
  <si>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</si>
  <si>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</si>
  <si>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</si>
  <si>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</si>
  <si>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</si>
  <si>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</si>
  <si>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</si>
  <si>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</si>
  <si>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</si>
  <si>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</si>
  <si>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</si>
  <si>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</si>
  <si>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</si>
  <si>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</si>
  <si>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Enc. Contabilidad</t>
  </si>
  <si>
    <t xml:space="preserve">  Revisado por:    Lic. Felipe López</t>
  </si>
  <si>
    <t>Aprobado por: Lic. María Mercedes Troncoso</t>
  </si>
  <si>
    <t>Directora Financiera</t>
  </si>
  <si>
    <t>Total General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</si>
</sst>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1" xfId="1" applyFont="1" applyBorder="1" applyAlignment="1">
      <alignment vertical="center" wrapText="1"/>
    </xf>
    <xf numFmtId="43" fontId="0" fillId="0" borderId="11" xfId="1" applyFon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43" fontId="3" fillId="5" borderId="11" xfId="1" applyFont="1" applyFill="1" applyBorder="1" applyAlignment="1">
      <alignment horizontal="center" vertical="center" wrapText="1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1" xfId="0" applyNumberFormat="1" applyBorder="1"/>
    <xf numFmtId="43" fontId="0" fillId="0" borderId="11" xfId="1" applyFont="1" applyBorder="1"/>
    <xf numFmtId="164" fontId="3" fillId="0" borderId="11" xfId="0" applyNumberFormat="1" applyFont="1" applyBorder="1"/>
    <xf numFmtId="164" fontId="0" fillId="0" borderId="11" xfId="0" applyNumberFormat="1" applyBorder="1"/>
    <xf numFmtId="43" fontId="3" fillId="0" borderId="11" xfId="1" applyFont="1" applyBorder="1"/>
    <xf numFmtId="43" fontId="3" fillId="5" borderId="11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3" xfId="0" applyFont="1" applyBorder="1"/>
    <xf numFmtId="0" fontId="0" fillId="0" borderId="13" xfId="0" applyBorder="1"/>
    <xf numFmtId="0" fontId="3" fillId="0" borderId="0" xfId="0" applyFont="1"/>
    <xf numFmtId="43" fontId="3" fillId="6" borderId="11" xfId="0" applyNumberFormat="1" applyFont="1" applyFill="1" applyBorder="1"/>
    <xf numFmtId="0" fontId="3" fillId="0" borderId="14" xfId="0" applyFont="1" applyBorder="1" applyAlignment="1">
      <alignment wrapText="1"/>
    </xf>
    <xf numFmtId="43" fontId="0" fillId="3" borderId="11" xfId="1" applyFont="1" applyFill="1" applyBorder="1" applyAlignment="1">
      <alignment vertical="center" wrapText="1"/>
    </xf>
    <xf numFmtId="4" fontId="0" fillId="0" borderId="11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" fontId="0" fillId="0" borderId="17" xfId="0" applyNumberFormat="1" applyBorder="1"/>
    <xf numFmtId="43" fontId="0" fillId="0" borderId="0" xfId="0" applyNumberFormat="1"/>
    <xf numFmtId="43" fontId="0" fillId="0" borderId="11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1" xfId="0" applyNumberFormat="1" applyFill="1" applyBorder="1"/>
    <xf numFmtId="43" fontId="0" fillId="3" borderId="12" xfId="1" applyFont="1" applyFill="1" applyBorder="1" applyAlignment="1">
      <alignment vertical="center" wrapText="1"/>
    </xf>
    <xf numFmtId="43" fontId="9" fillId="0" borderId="11" xfId="1" applyFont="1" applyFill="1" applyBorder="1" applyAlignment="1">
      <alignment vertical="center" wrapText="1"/>
    </xf>
    <xf numFmtId="43" fontId="0" fillId="0" borderId="11" xfId="0" applyNumberFormat="1" applyBorder="1" applyAlignment="1">
      <alignment vertical="center" wrapText="1"/>
    </xf>
    <xf numFmtId="43" fontId="3" fillId="0" borderId="11" xfId="1" applyFont="1" applyFill="1" applyBorder="1" applyAlignment="1">
      <alignment vertical="center" wrapText="1"/>
    </xf>
    <xf numFmtId="43" fontId="0" fillId="0" borderId="0" xfId="1" applyFont="1"/>
    <xf numFmtId="43" fontId="3" fillId="0" borderId="12" xfId="1" applyFont="1" applyFill="1" applyBorder="1" applyAlignment="1">
      <alignment vertical="center" wrapText="1"/>
    </xf>
    <xf numFmtId="43" fontId="3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200024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3</xdr:col>
      <xdr:colOff>1973792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abSelected="1" zoomScale="90" zoomScaleNormal="90" workbookViewId="0">
      <selection activeCell="C86" sqref="C86"/>
    </sheetView>
  </sheetViews>
  <sheetFormatPr baseColWidth="10" defaultColWidth="11.3828125" defaultRowHeight="14.6" x14ac:dyDescent="0.4"/>
  <cols>
    <col min="1" max="1" width="4" customWidth="1"/>
    <col min="2" max="2" width="1.69140625" customWidth="1"/>
    <col min="3" max="3" width="93.69140625" customWidth="1"/>
    <col min="4" max="4" width="33.3046875" customWidth="1"/>
    <col min="5" max="5" width="29.3046875" customWidth="1"/>
    <col min="6" max="6" width="18.69140625" customWidth="1"/>
    <col min="7" max="7" width="18" customWidth="1"/>
    <col min="8" max="8" width="14.84375" customWidth="1"/>
    <col min="9" max="9" width="16.15234375" customWidth="1"/>
    <col min="10" max="10" width="15.84375" customWidth="1"/>
    <col min="11" max="11" width="18.53515625" customWidth="1"/>
    <col min="12" max="12" width="14.84375" customWidth="1"/>
    <col min="13" max="13" width="17.53515625" customWidth="1"/>
    <col min="14" max="15" width="16.69140625" customWidth="1"/>
    <col min="16" max="16" width="17.84375" customWidth="1"/>
    <col min="17" max="17" width="16.3828125" customWidth="1"/>
    <col min="18" max="18" width="18.3828125" customWidth="1"/>
    <col min="19" max="19" width="14.3828125" customWidth="1"/>
  </cols>
  <sheetData>
    <row r="2" spans="3:19" x14ac:dyDescent="0.4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4">
      <c r="C3" s="56" t="s">
        <v>96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3:19" ht="21" customHeight="1" x14ac:dyDescent="0.4">
      <c r="C4" s="58" t="s">
        <v>97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9" ht="15.9" x14ac:dyDescent="0.4">
      <c r="C5" s="61" t="s">
        <v>99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4">
      <c r="C6" s="63" t="s">
        <v>90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35"/>
    </row>
    <row r="7" spans="3:19" ht="15.75" customHeight="1" x14ac:dyDescent="0.4">
      <c r="C7" s="49" t="s">
        <v>75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4">
      <c r="C9" s="50" t="s">
        <v>65</v>
      </c>
      <c r="D9" s="51" t="s">
        <v>92</v>
      </c>
      <c r="E9" s="51" t="s">
        <v>91</v>
      </c>
      <c r="F9" s="53" t="s">
        <v>89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4">
      <c r="C10" s="60"/>
      <c r="D10" s="52"/>
      <c r="E10" s="5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4">
      <c r="C11" s="36" t="s">
        <v>0</v>
      </c>
      <c r="D11" s="20"/>
      <c r="E11" s="2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4">
      <c r="C12" s="2" t="s">
        <v>1</v>
      </c>
      <c r="D12" s="10">
        <f>+D13+D14+D15+D16+D17</f>
        <v>961369166</v>
      </c>
      <c r="E12" s="10">
        <f>+E13+E14+E15+E16+E17</f>
        <v>2447575.02</v>
      </c>
      <c r="F12" s="15">
        <f t="shared" ref="F12:L12" si="0">+F13+F14+F15+F16+F17</f>
        <v>57948310.090000004</v>
      </c>
      <c r="G12" s="10">
        <f t="shared" si="0"/>
        <v>61587709.419999994</v>
      </c>
      <c r="H12" s="10">
        <f t="shared" si="0"/>
        <v>64127092.99000001</v>
      </c>
      <c r="I12" s="10">
        <f t="shared" si="0"/>
        <v>100411271.56999998</v>
      </c>
      <c r="J12" s="10">
        <f t="shared" si="0"/>
        <v>58896821.62000002</v>
      </c>
      <c r="K12" s="10">
        <f t="shared" si="0"/>
        <v>57555865.439999983</v>
      </c>
      <c r="L12" s="10">
        <f t="shared" si="0"/>
        <v>55046541.020000003</v>
      </c>
      <c r="M12" s="10">
        <f t="shared" ref="M12:Q12" si="1">+M13+M14+M15+M16+M17</f>
        <v>54924335.540000014</v>
      </c>
      <c r="N12" s="10">
        <f t="shared" si="1"/>
        <v>66710418.150000028</v>
      </c>
      <c r="O12" s="10">
        <f t="shared" si="1"/>
        <v>100685936.06999987</v>
      </c>
      <c r="P12" s="10">
        <f t="shared" si="1"/>
        <v>107300469.29000007</v>
      </c>
      <c r="Q12" s="10">
        <f t="shared" si="1"/>
        <v>173699603.05999982</v>
      </c>
      <c r="R12" s="10">
        <f t="shared" ref="R12" si="2">+R13+R14+R15+R16+R17</f>
        <v>958894374.25999975</v>
      </c>
    </row>
    <row r="13" spans="3:19" x14ac:dyDescent="0.4">
      <c r="C13" s="3" t="s">
        <v>2</v>
      </c>
      <c r="D13" s="33">
        <v>536451238</v>
      </c>
      <c r="E13" s="34">
        <f>1054173.96+756000+63000</f>
        <v>1873173.96</v>
      </c>
      <c r="F13" s="33">
        <v>41659718.340000004</v>
      </c>
      <c r="G13" s="11">
        <f>86942911.64-F13</f>
        <v>45283193.299999997</v>
      </c>
      <c r="H13" s="11">
        <f>134770151.58-F13-G13</f>
        <v>47827239.940000013</v>
      </c>
      <c r="I13" s="11">
        <f>177183161.35-F13-G13-H13</f>
        <v>42413009.769999981</v>
      </c>
      <c r="J13" s="11">
        <f>219609021.02-F13-G13-H13-I13</f>
        <v>42425859.670000017</v>
      </c>
      <c r="K13" s="11">
        <f>261339946.02-F13-G13-H13-I13-J13</f>
        <v>41730924.999999985</v>
      </c>
      <c r="L13" s="11">
        <f>302731811.9-F13-G13-H13-I13-J13-K13</f>
        <v>41391865.88000001</v>
      </c>
      <c r="M13" s="11">
        <f>343778082.2-F13-G13-H13-I13-J13-K13-L13</f>
        <v>41046270.300000012</v>
      </c>
      <c r="N13" s="11">
        <f>385440130.05-F13-G13-H13-I13-J13-K13-L13-M13</f>
        <v>41662047.850000024</v>
      </c>
      <c r="O13" s="11">
        <f>425850819.63-F13-G13-H13-I13-J13-K13-L13-M13-N13</f>
        <v>40410689.579999909</v>
      </c>
      <c r="P13" s="11">
        <f>519285537.58-F13-G13-H13-I13-J13-K13-L13-M13-N13-O13</f>
        <v>93434717.950000063</v>
      </c>
      <c r="Q13" s="11">
        <f>563147656.37-F13-G13-H13-I13-J13-K13-L13-M13-N13-O13-P13</f>
        <v>43862118.789999947</v>
      </c>
      <c r="R13" s="11">
        <f>+F13+G13+H13+I13+J13+K13+L13+M13+N13+O13+P13+Q13</f>
        <v>563147656.36999989</v>
      </c>
    </row>
    <row r="14" spans="3:19" x14ac:dyDescent="0.4">
      <c r="C14" s="3" t="s">
        <v>3</v>
      </c>
      <c r="D14" s="33">
        <v>348862009</v>
      </c>
      <c r="E14" s="11">
        <v>260000</v>
      </c>
      <c r="F14" s="33">
        <v>9969390.6099999994</v>
      </c>
      <c r="G14" s="11">
        <f>19882581.22-F14</f>
        <v>9913190.6099999994</v>
      </c>
      <c r="H14" s="11">
        <f>29830771.83-F14-G14</f>
        <v>9948190.6099999994</v>
      </c>
      <c r="I14" s="11">
        <f>81445138.44-F14-G14-H14</f>
        <v>51614366.609999999</v>
      </c>
      <c r="J14" s="11">
        <f>91459329.05-F14-G14-H14-I14</f>
        <v>10014190.609999999</v>
      </c>
      <c r="K14" s="11">
        <f>100941519.66-F14-G14-H14-I14-J14</f>
        <v>9482190.6099999994</v>
      </c>
      <c r="L14" s="11">
        <f>108348685.27-F14-G14-H14-I14-J14-K14</f>
        <v>7407165.6099999994</v>
      </c>
      <c r="M14" s="11">
        <f>115935850.88-F14-G14-H14-I14-J14-K14-L14</f>
        <v>7587165.6099999994</v>
      </c>
      <c r="N14" s="11">
        <f>123522083.16-F14-G14-H14-I14-J14-K14-L14-M14</f>
        <v>7586232.2800000012</v>
      </c>
      <c r="O14" s="11">
        <f>177517233.43-F14-G14-H14-I14-J14-K14-L14-M14-N14</f>
        <v>53995150.269999966</v>
      </c>
      <c r="P14" s="11">
        <f>185124399.04-F14-G14-H14-I14-J14-K14-L14-M14-N14-O14</f>
        <v>7607165.6100000143</v>
      </c>
      <c r="Q14" s="11">
        <f>308723633.28-F14-G14-H14-I14-J14-K14-L14-M14-N14-O14-P14</f>
        <v>123599234.23999988</v>
      </c>
      <c r="R14" s="11">
        <f t="shared" ref="R14:R17" si="3">+F14+G14+H14+I14+J14+K14+L14+M14+N14+O14+P14+Q14</f>
        <v>308723633.27999985</v>
      </c>
    </row>
    <row r="15" spans="3:19" x14ac:dyDescent="0.4">
      <c r="C15" s="3" t="s">
        <v>4</v>
      </c>
      <c r="D15" s="33">
        <v>0</v>
      </c>
      <c r="E15" s="11">
        <v>0</v>
      </c>
      <c r="F15" s="33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f t="shared" si="3"/>
        <v>0</v>
      </c>
    </row>
    <row r="16" spans="3:19" x14ac:dyDescent="0.4">
      <c r="C16" s="3" t="s">
        <v>5</v>
      </c>
      <c r="D16" s="33">
        <v>0</v>
      </c>
      <c r="E16" s="11">
        <v>0</v>
      </c>
      <c r="F16" s="33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11134940</v>
      </c>
      <c r="O16" s="11">
        <f>11134940-F16-G16-H16-I16-J16-K16-L16-M16-N16</f>
        <v>0</v>
      </c>
      <c r="P16" s="11">
        <f>11134940-N16</f>
        <v>0</v>
      </c>
      <c r="Q16" s="11">
        <f>11134940-N16</f>
        <v>0</v>
      </c>
      <c r="R16" s="11">
        <f t="shared" si="3"/>
        <v>11134940</v>
      </c>
    </row>
    <row r="17" spans="3:19" x14ac:dyDescent="0.4">
      <c r="C17" s="3" t="s">
        <v>6</v>
      </c>
      <c r="D17" s="33">
        <v>76055919</v>
      </c>
      <c r="E17" s="11">
        <v>314401.06</v>
      </c>
      <c r="F17" s="33">
        <v>6319201.1399999997</v>
      </c>
      <c r="G17" s="11">
        <f>12710526.65-F17</f>
        <v>6391325.5100000007</v>
      </c>
      <c r="H17" s="35">
        <f>19062189.09-F17-G17</f>
        <v>6351662.4399999985</v>
      </c>
      <c r="I17" s="11">
        <f>25446084.28-F17-G17-H17</f>
        <v>6383895.1900000004</v>
      </c>
      <c r="J17" s="11">
        <f>31902855.62-F17-G17-H17-I17</f>
        <v>6456771.3400000008</v>
      </c>
      <c r="K17" s="11">
        <f>38245605.45-F17-G17-H17-I17-J17</f>
        <v>6342749.830000001</v>
      </c>
      <c r="L17" s="11">
        <f>44493114.98-F17-G17-H17-I17-J17-K17</f>
        <v>6247509.5299999947</v>
      </c>
      <c r="M17" s="11">
        <f>50784014.61-F17-G17-H17-I17-J17-K17-L17</f>
        <v>6290899.6300000055</v>
      </c>
      <c r="N17" s="11">
        <f>57111212.63-F17-G17-H17-I17-J17-K17-L17-M17</f>
        <v>6327198.0200000042</v>
      </c>
      <c r="O17" s="11">
        <f>63391308.85-F17-G17-H17-I17-J17-K17-L17-M17-N17</f>
        <v>6280096.2200000016</v>
      </c>
      <c r="P17" s="11">
        <f>69649894.58-F17-G17-H17-I17-J17-K17-L17-M17-N17-O17</f>
        <v>6258585.7299999939</v>
      </c>
      <c r="Q17" s="11">
        <f>75888144.61-F17-G17-H17-I17-J17-K17-L17-M17-N17-O17-P17</f>
        <v>6238250.030000004</v>
      </c>
      <c r="R17" s="11">
        <f t="shared" si="3"/>
        <v>75888144.609999999</v>
      </c>
    </row>
    <row r="18" spans="3:19" x14ac:dyDescent="0.4">
      <c r="C18" s="2" t="s">
        <v>7</v>
      </c>
      <c r="D18" s="45">
        <f>+D19+D20+D21+D22+D23+D24+D25+D26+D27</f>
        <v>58572009</v>
      </c>
      <c r="E18" s="45">
        <f>+E19+E20+E21+E22+E23+E24+E25+E26+E27</f>
        <v>17658772.539999999</v>
      </c>
      <c r="F18" s="47">
        <f t="shared" ref="F18:L18" si="4">+F19+F20+F21+F22+F23+F24+F25+F26+F27</f>
        <v>6870920.75</v>
      </c>
      <c r="G18" s="45">
        <f t="shared" si="4"/>
        <v>2659973.13</v>
      </c>
      <c r="H18" s="45">
        <f t="shared" si="4"/>
        <v>6007375.3399999999</v>
      </c>
      <c r="I18" s="45">
        <f t="shared" si="4"/>
        <v>5461103.540000001</v>
      </c>
      <c r="J18" s="45">
        <f t="shared" si="4"/>
        <v>3143054.5599999987</v>
      </c>
      <c r="K18" s="45">
        <f t="shared" si="4"/>
        <v>5462547.8100000005</v>
      </c>
      <c r="L18" s="45">
        <f t="shared" si="4"/>
        <v>3298650.8200000017</v>
      </c>
      <c r="M18" s="45">
        <f t="shared" ref="M18:Q18" si="5">+M19+M20+M21+M22+M23+M24+M25+M26+M27</f>
        <v>5141505.6899999976</v>
      </c>
      <c r="N18" s="45">
        <f t="shared" si="5"/>
        <v>9917064.1000000015</v>
      </c>
      <c r="O18" s="45">
        <f t="shared" si="5"/>
        <v>3141716.5000000009</v>
      </c>
      <c r="P18" s="45">
        <f t="shared" si="5"/>
        <v>4750646.66</v>
      </c>
      <c r="Q18" s="45">
        <f t="shared" si="5"/>
        <v>11511521.249999998</v>
      </c>
      <c r="R18" s="45">
        <f>+R19+R20+R21+R22+R23+R24+R25+R26+R27</f>
        <v>67366080.150000006</v>
      </c>
      <c r="S18" s="48"/>
    </row>
    <row r="19" spans="3:19" x14ac:dyDescent="0.4">
      <c r="C19" s="3" t="s">
        <v>8</v>
      </c>
      <c r="D19" s="34">
        <v>19988000</v>
      </c>
      <c r="E19" s="11">
        <v>0</v>
      </c>
      <c r="F19" s="33">
        <v>1594649.42</v>
      </c>
      <c r="G19" s="11">
        <f>3165493.8-F19</f>
        <v>1570844.38</v>
      </c>
      <c r="H19" s="35">
        <f>4631057.83-F19-G19</f>
        <v>1465564.0300000003</v>
      </c>
      <c r="I19" s="11">
        <f>6148849.28-F19-G19-H19</f>
        <v>1517791.4500000002</v>
      </c>
      <c r="J19" s="11">
        <f>6803376.22-F19-G19-H19-I19</f>
        <v>654526.93999999948</v>
      </c>
      <c r="K19" s="11">
        <f>9349499.98-F19-G19-H19-I19-J19</f>
        <v>2546123.7600000007</v>
      </c>
      <c r="L19" s="11">
        <f>10789210.8-F19-G19-H19-I19-J19-K19</f>
        <v>1439710.8200000003</v>
      </c>
      <c r="M19" s="11">
        <f>12650177.53-F19-G19-H19-I19-J19-K19-L19</f>
        <v>1860966.7299999995</v>
      </c>
      <c r="N19" s="11">
        <f>14443958.57-F19-G19-H19-I19-J19-K19-L19-M19</f>
        <v>1793781.0399999982</v>
      </c>
      <c r="O19" s="11">
        <f>16264956.51-F19-G19-H19-I19-J19-K19-L19-M19-N19</f>
        <v>1820997.9400000023</v>
      </c>
      <c r="P19" s="11">
        <f>17961115.85-F19-G19-H19-I19-J19-K19-L19-M19-N19-O19</f>
        <v>1696159.3400000008</v>
      </c>
      <c r="Q19" s="11">
        <f>19608656.03-F19-G19-H19-I19-J19-K19-L19-M19-N19-O19-P19</f>
        <v>1647540.1799999997</v>
      </c>
      <c r="R19" s="11">
        <f>+F19+G19+H19+I19+J19+K19+L19+M19+N19+O19+P19+Q19</f>
        <v>19608656.030000001</v>
      </c>
    </row>
    <row r="20" spans="3:19" x14ac:dyDescent="0.4">
      <c r="C20" s="3" t="s">
        <v>9</v>
      </c>
      <c r="D20" s="34">
        <v>2398125</v>
      </c>
      <c r="E20" s="11">
        <v>0</v>
      </c>
      <c r="F20" s="33">
        <v>0</v>
      </c>
      <c r="G20" s="12">
        <v>0</v>
      </c>
      <c r="H20" s="11">
        <v>0</v>
      </c>
      <c r="I20" s="11">
        <f>36226</f>
        <v>36226</v>
      </c>
      <c r="J20" s="11">
        <f>36226-I20</f>
        <v>0</v>
      </c>
      <c r="K20" s="11">
        <v>0</v>
      </c>
      <c r="L20" s="11">
        <f>36226-I20</f>
        <v>0</v>
      </c>
      <c r="M20" s="11">
        <f>281891.23-F20-G20-H20-I20-J20-K20-L20</f>
        <v>245665.22999999998</v>
      </c>
      <c r="N20" s="11">
        <f>281891.23-I20-M20</f>
        <v>0</v>
      </c>
      <c r="O20" s="11">
        <f>587063.42-F20-G20-H20-I20-J20-K20-L20-M20-N20</f>
        <v>305172.19000000006</v>
      </c>
      <c r="P20" s="11">
        <f>1288675.14-I20-M20-O20</f>
        <v>701611.71999999986</v>
      </c>
      <c r="Q20" s="11">
        <f>2484822.3-I20-M20-O20-P20</f>
        <v>1196147.1600000001</v>
      </c>
      <c r="R20" s="11">
        <f t="shared" ref="R20:R27" si="6">+F20+G20+H20+I20+J20+K20+L20+M20+N20+O20+P20+Q20</f>
        <v>2484822.2999999998</v>
      </c>
    </row>
    <row r="21" spans="3:19" x14ac:dyDescent="0.4">
      <c r="C21" s="3" t="s">
        <v>10</v>
      </c>
      <c r="D21" s="34">
        <v>10000000</v>
      </c>
      <c r="E21" s="39">
        <v>0</v>
      </c>
      <c r="F21" s="39">
        <v>0</v>
      </c>
      <c r="G21" s="43">
        <v>0</v>
      </c>
      <c r="H21" s="35">
        <f>1670862.5</f>
        <v>1670862.5</v>
      </c>
      <c r="I21" s="39">
        <f>3842120-H21</f>
        <v>2171257.5</v>
      </c>
      <c r="J21" s="11">
        <f>3842120-H21-I21</f>
        <v>0</v>
      </c>
      <c r="K21" s="39">
        <f>5420042.5-H21-I21</f>
        <v>1577922.5</v>
      </c>
      <c r="L21" s="39">
        <f>5420042.5-H21-I21-K21</f>
        <v>0</v>
      </c>
      <c r="M21" s="39">
        <f>7690590-F21-G21-H21-I21-J21-K21-L21</f>
        <v>2270547.5</v>
      </c>
      <c r="N21" s="39">
        <f>7690590-H21-I21-K21-M21</f>
        <v>0</v>
      </c>
      <c r="O21" s="39">
        <f>7690590-F21-G21-H21-I21-J21-K21-L21-M21-N21</f>
        <v>0</v>
      </c>
      <c r="P21" s="39">
        <f>9052177.5-H21-I21-K21-M21</f>
        <v>1361587.5</v>
      </c>
      <c r="Q21" s="39">
        <f>9827685-H21-I21-K21-M21-P21</f>
        <v>775507.5</v>
      </c>
      <c r="R21" s="39">
        <f>+F21+G21+H21+I21+J21+K21+L21+M21+N21+O21+P21+Q21-G21</f>
        <v>9827685</v>
      </c>
    </row>
    <row r="22" spans="3:19" x14ac:dyDescent="0.4">
      <c r="C22" s="3" t="s">
        <v>11</v>
      </c>
      <c r="D22" s="34">
        <v>200000</v>
      </c>
      <c r="E22" s="11">
        <v>0</v>
      </c>
      <c r="F22" s="33">
        <v>0</v>
      </c>
      <c r="G22" s="12">
        <v>0</v>
      </c>
      <c r="H22" s="11">
        <v>0</v>
      </c>
      <c r="I22" s="12">
        <v>9960</v>
      </c>
      <c r="J22" s="12">
        <f>I22-9960</f>
        <v>0</v>
      </c>
      <c r="K22" s="11">
        <v>0</v>
      </c>
      <c r="L22" s="11">
        <f>9960-I22</f>
        <v>0</v>
      </c>
      <c r="M22" s="11">
        <f>9960-F22-G22-H22-I22-J22-K22-L22</f>
        <v>0</v>
      </c>
      <c r="N22" s="11">
        <f>9960-I22</f>
        <v>0</v>
      </c>
      <c r="O22" s="11">
        <f>9960-F22-G22-H22-I22-J22-K22-L22-M22-N22</f>
        <v>0</v>
      </c>
      <c r="P22" s="11">
        <f>15660-I22</f>
        <v>5700</v>
      </c>
      <c r="Q22" s="11">
        <f>19960-I22-P22</f>
        <v>4300</v>
      </c>
      <c r="R22" s="11">
        <f t="shared" si="6"/>
        <v>19960</v>
      </c>
    </row>
    <row r="23" spans="3:19" x14ac:dyDescent="0.4">
      <c r="C23" s="3" t="s">
        <v>12</v>
      </c>
      <c r="D23" s="34">
        <v>1300000</v>
      </c>
      <c r="E23" s="11">
        <v>158772.54</v>
      </c>
      <c r="F23" s="33"/>
      <c r="G23" s="11">
        <v>0</v>
      </c>
      <c r="H23" s="35">
        <v>158772.54</v>
      </c>
      <c r="I23" s="11">
        <f>158772.54-H23</f>
        <v>0</v>
      </c>
      <c r="J23" s="11">
        <f>348752.54-H23</f>
        <v>189979.99999999997</v>
      </c>
      <c r="K23" s="11">
        <f>348752.54-H23-J23</f>
        <v>0</v>
      </c>
      <c r="L23" s="11">
        <f>348752.54-H23-J23</f>
        <v>0</v>
      </c>
      <c r="M23" s="11">
        <f>348752.54-F23-G23-H23-I23-J23-K23-L23</f>
        <v>0</v>
      </c>
      <c r="N23" s="11">
        <f>538732.54-H23-J23</f>
        <v>189980.00000000003</v>
      </c>
      <c r="O23" s="11">
        <f>538732.54-H23-J23-N23</f>
        <v>0</v>
      </c>
      <c r="P23" s="11">
        <f>578632.54-H23-J23-N23</f>
        <v>39900</v>
      </c>
      <c r="Q23" s="11">
        <f>768612.54-H23-J23-N23-P23</f>
        <v>189979.99999999997</v>
      </c>
      <c r="R23" s="11">
        <f t="shared" si="6"/>
        <v>768612.54</v>
      </c>
    </row>
    <row r="24" spans="3:19" x14ac:dyDescent="0.4">
      <c r="C24" s="3" t="s">
        <v>13</v>
      </c>
      <c r="D24" s="34">
        <v>14840000</v>
      </c>
      <c r="E24" s="11">
        <v>6079208.0899999999</v>
      </c>
      <c r="F24" s="33">
        <v>5276271.33</v>
      </c>
      <c r="G24" s="11">
        <f>6365400.08-F24</f>
        <v>1089128.75</v>
      </c>
      <c r="H24" s="34">
        <f>7096916.81-F24-G24</f>
        <v>731516.72999999952</v>
      </c>
      <c r="I24" s="11">
        <f>7839027.29-F24-G24-H24</f>
        <v>742110.48000000045</v>
      </c>
      <c r="J24" s="11">
        <f>8600965.36-F24-G24-H24-I24</f>
        <v>761938.06999999937</v>
      </c>
      <c r="K24" s="11">
        <f>9505350.19-F24-G24-H24-I24-J24</f>
        <v>904384.83000000007</v>
      </c>
      <c r="L24" s="11">
        <f>10262662.38-F24-G24-H24-I24-J24-K24</f>
        <v>757312.19000000134</v>
      </c>
      <c r="M24" s="11">
        <f>11026988.61-F24-G24-H24-I24-J24-K24-L24</f>
        <v>764326.22999999858</v>
      </c>
      <c r="N24" s="11">
        <f>17858645.92-F24-G24-H24-I24-J24-K24-L24-M24</f>
        <v>6831657.3100000024</v>
      </c>
      <c r="O24" s="11">
        <f>18680158.39-F24-G24-H24-I24-J24-K24-L24-M24-N24</f>
        <v>821512.46999999881</v>
      </c>
      <c r="P24" s="11">
        <f>19492328.63-F24-G24-H24-I24-J24-K24-L24-M24-N24-O24</f>
        <v>812170.23999999836</v>
      </c>
      <c r="Q24" s="11">
        <f>20308654.24-F24-G24-H24-I24-J24-K24-L24-M24-N24-O24-P24</f>
        <v>816325.6099999994</v>
      </c>
      <c r="R24" s="11">
        <f t="shared" si="6"/>
        <v>20308654.239999998</v>
      </c>
    </row>
    <row r="25" spans="3:19" x14ac:dyDescent="0.4">
      <c r="C25" s="3" t="s">
        <v>14</v>
      </c>
      <c r="D25" s="34">
        <v>2607000</v>
      </c>
      <c r="E25" s="11">
        <v>11420791.91</v>
      </c>
      <c r="F25" s="33">
        <v>0</v>
      </c>
      <c r="G25" s="11">
        <v>0</v>
      </c>
      <c r="H25" s="35">
        <v>1980659.54</v>
      </c>
      <c r="I25" s="11">
        <f>2179182.74-H25</f>
        <v>198523.20000000019</v>
      </c>
      <c r="J25" s="11">
        <f>2236900.09-H25-I25</f>
        <v>57717.349999999627</v>
      </c>
      <c r="K25" s="11">
        <f>2558516.81-H25-I25-J25</f>
        <v>321616.7200000002</v>
      </c>
      <c r="L25" s="11">
        <f>3471642.62-H25-I25-J25-K25</f>
        <v>913125.81</v>
      </c>
      <c r="M25" s="11">
        <f>3471642.62-F25-G25-H25-I25-J25-K25-L25</f>
        <v>0</v>
      </c>
      <c r="N25" s="11">
        <f>4100637.69-H25-I25-J25-K25-L25</f>
        <v>628995.06999999983</v>
      </c>
      <c r="O25" s="11">
        <f>4123951.59-H25-I25-J25-K25-L25-N25</f>
        <v>23313.899999999907</v>
      </c>
      <c r="P25" s="11">
        <f>4227538.65-H25-I25-J25-K25-L25-N25-O25</f>
        <v>103587.06000000052</v>
      </c>
      <c r="Q25" s="11">
        <f>6455451.35-H25-I25-J25-K25-L25-N25-O25-P25</f>
        <v>2227912.6999999993</v>
      </c>
      <c r="R25" s="11">
        <f t="shared" si="6"/>
        <v>6455451.3499999996</v>
      </c>
    </row>
    <row r="26" spans="3:19" x14ac:dyDescent="0.4">
      <c r="C26" s="3" t="s">
        <v>15</v>
      </c>
      <c r="D26" s="34">
        <v>4060000</v>
      </c>
      <c r="E26" s="39">
        <v>0</v>
      </c>
      <c r="F26" s="39">
        <v>0</v>
      </c>
      <c r="G26" s="43">
        <v>0</v>
      </c>
      <c r="H26" s="39">
        <v>0</v>
      </c>
      <c r="I26" s="39">
        <f>785234.91-H26</f>
        <v>785234.91</v>
      </c>
      <c r="J26" s="39">
        <f>1016127.11-I26</f>
        <v>230892.19999999995</v>
      </c>
      <c r="K26" s="39">
        <f>1128627.11-I26-J26</f>
        <v>112500.00000000012</v>
      </c>
      <c r="L26" s="39">
        <f>1317129.11-I26-J26-K26</f>
        <v>188502</v>
      </c>
      <c r="M26" s="39">
        <f>1317129.11-F26-G26-H26-I26-J26-K26-L26</f>
        <v>0</v>
      </c>
      <c r="N26" s="39">
        <f>1789779.79-I26-J26-K26-L26</f>
        <v>472650.67999999993</v>
      </c>
      <c r="O26" s="39">
        <f>1960499.79-I26-J26-K26-L26-N26</f>
        <v>170719.99999999988</v>
      </c>
      <c r="P26" s="39">
        <f>1990430.59-I26-J26-K26-L26-N26-O26</f>
        <v>29930.800000000279</v>
      </c>
      <c r="Q26" s="39">
        <f>4455466.61-I26-J26-K26-L26-N26-O26-P26</f>
        <v>2465036.02</v>
      </c>
      <c r="R26" s="39">
        <f>+F26+G26+H26+I26+J26+K26+L26+M26+N26+O26+P26+Q26-G26</f>
        <v>4455466.6100000003</v>
      </c>
    </row>
    <row r="27" spans="3:19" x14ac:dyDescent="0.4">
      <c r="C27" s="3" t="s">
        <v>16</v>
      </c>
      <c r="D27" s="34">
        <v>3178884</v>
      </c>
      <c r="E27" s="11">
        <v>0</v>
      </c>
      <c r="F27" s="17">
        <v>0</v>
      </c>
      <c r="G27" s="12">
        <v>0</v>
      </c>
      <c r="H27" s="12">
        <v>0</v>
      </c>
      <c r="I27" s="12">
        <v>0</v>
      </c>
      <c r="J27" s="11">
        <v>1248000</v>
      </c>
      <c r="K27" s="11">
        <f>1248000-J27</f>
        <v>0</v>
      </c>
      <c r="L27" s="11">
        <f>1248000-J27</f>
        <v>0</v>
      </c>
      <c r="M27" s="11">
        <f>1248000-F27-G27-H27-I27-J27-K27-L27</f>
        <v>0</v>
      </c>
      <c r="N27" s="11">
        <f>1248000-J27</f>
        <v>0</v>
      </c>
      <c r="O27" s="11">
        <f>1248000-J27</f>
        <v>0</v>
      </c>
      <c r="P27" s="11">
        <f>1248000-J27</f>
        <v>0</v>
      </c>
      <c r="Q27" s="11">
        <f>3436772.08-J27</f>
        <v>2188772.08</v>
      </c>
      <c r="R27" s="11">
        <f t="shared" si="6"/>
        <v>3436772.08</v>
      </c>
    </row>
    <row r="28" spans="3:19" x14ac:dyDescent="0.4">
      <c r="C28" s="2" t="s">
        <v>17</v>
      </c>
      <c r="D28" s="10">
        <f>+D29+D30+D31+D32+D33+D34+D35+D36+D37</f>
        <v>40820686</v>
      </c>
      <c r="E28" s="10">
        <f>+E29+E30+E31+E32+E33+E34+E35+E36+E37</f>
        <v>373240.45</v>
      </c>
      <c r="F28" s="15">
        <f t="shared" ref="F28:L28" si="7">+F29+F30+F31+F32+F33+F34+F35+F36+F37</f>
        <v>0</v>
      </c>
      <c r="G28" s="10">
        <f t="shared" si="7"/>
        <v>133860</v>
      </c>
      <c r="H28" s="10">
        <f t="shared" si="7"/>
        <v>3901630.7299999995</v>
      </c>
      <c r="I28" s="10">
        <f t="shared" si="7"/>
        <v>3248348.13</v>
      </c>
      <c r="J28" s="45">
        <f t="shared" si="7"/>
        <v>1112843.3300000005</v>
      </c>
      <c r="K28" s="10">
        <f t="shared" si="7"/>
        <v>1201166.49</v>
      </c>
      <c r="L28" s="10">
        <f t="shared" si="7"/>
        <v>1583399.8799999994</v>
      </c>
      <c r="M28" s="10">
        <f t="shared" ref="M28:Q28" si="8">+M29+M30+M31+M32+M33+M34+M35+M36+M37</f>
        <v>5324036.9999999991</v>
      </c>
      <c r="N28" s="10">
        <f t="shared" si="8"/>
        <v>672145.01000000094</v>
      </c>
      <c r="O28" s="10">
        <f t="shared" si="8"/>
        <v>1559765.149999999</v>
      </c>
      <c r="P28" s="10">
        <f t="shared" si="8"/>
        <v>3295646.709999999</v>
      </c>
      <c r="Q28" s="10">
        <f t="shared" si="8"/>
        <v>15133751.170000002</v>
      </c>
      <c r="R28" s="10">
        <f t="shared" ref="R28" si="9">+R29+R30+R31+R32+R33+R34+R35+R36+R37</f>
        <v>37166593.600000001</v>
      </c>
      <c r="S28" s="48"/>
    </row>
    <row r="29" spans="3:19" x14ac:dyDescent="0.4">
      <c r="C29" s="3" t="s">
        <v>18</v>
      </c>
      <c r="D29" s="34">
        <v>1937000</v>
      </c>
      <c r="E29" s="39">
        <v>0</v>
      </c>
      <c r="F29" s="39">
        <v>0</v>
      </c>
      <c r="G29" s="39">
        <v>133860</v>
      </c>
      <c r="H29" s="35">
        <f>313862.3-G29</f>
        <v>180002.3</v>
      </c>
      <c r="I29" s="39">
        <f>322142.3-G29-H29</f>
        <v>8280</v>
      </c>
      <c r="J29" s="39">
        <f>434519.9-G29-H29-I29</f>
        <v>112377.60000000003</v>
      </c>
      <c r="K29" s="39">
        <f>713879.18-G29-H29-I29-J29</f>
        <v>279359.28000000003</v>
      </c>
      <c r="L29" s="39">
        <f>741299.18-G29-H29-I29-J29-K29</f>
        <v>27420</v>
      </c>
      <c r="M29" s="39">
        <f>779059.18-F29-G29-H29-I29-J29-K29-L29</f>
        <v>37760</v>
      </c>
      <c r="N29" s="39">
        <f>863999.18-G29-H29-I29-J29-K29-L29-M29</f>
        <v>84940.000000000058</v>
      </c>
      <c r="O29" s="39">
        <f>1070419.18-G29-H29-I29-J29-K29-L29-M29-N29</f>
        <v>206419.99999999971</v>
      </c>
      <c r="P29" s="39">
        <f>1273018.68-G29-H29-I29-J29-K29-L29-M29-N29-O29</f>
        <v>202599.5</v>
      </c>
      <c r="Q29" s="39">
        <f>1787217.56-G29-H29-I29-J29-K29-L29-M29-N29-O29-P29</f>
        <v>514198.88000000012</v>
      </c>
      <c r="R29" s="39">
        <f>+F29+G29+H29+I29+J29+K29+L29+M29+N29+O29+P29+Q29</f>
        <v>1787217.56</v>
      </c>
    </row>
    <row r="30" spans="3:19" s="4" customFormat="1" x14ac:dyDescent="0.4">
      <c r="C30" s="40" t="s">
        <v>19</v>
      </c>
      <c r="D30" s="41">
        <v>2187500</v>
      </c>
      <c r="E30" s="33">
        <v>0</v>
      </c>
      <c r="F30" s="42">
        <v>0</v>
      </c>
      <c r="G30" s="33">
        <v>0</v>
      </c>
      <c r="H30" s="33">
        <v>0</v>
      </c>
      <c r="I30" s="33">
        <v>0</v>
      </c>
      <c r="J30" s="39">
        <v>222.55</v>
      </c>
      <c r="K30" s="33">
        <f>65712.55-J30</f>
        <v>65490</v>
      </c>
      <c r="L30" s="33">
        <f>65712.55-J30-K30</f>
        <v>0</v>
      </c>
      <c r="M30" s="33">
        <f>1278339.55-F30-G30-H30-I30-J30-K30-L30</f>
        <v>1212627</v>
      </c>
      <c r="N30" s="33">
        <f>1434612.05-J30-K30-M30</f>
        <v>156272.5</v>
      </c>
      <c r="O30" s="33">
        <f>1434612.05-J30-K30-M30-N30</f>
        <v>0</v>
      </c>
      <c r="P30" s="33">
        <f>1569372.05-J30-K30-M30-N30</f>
        <v>134760</v>
      </c>
      <c r="Q30" s="33">
        <f>1569372.05-J30-K30-M30-N30-P30</f>
        <v>0</v>
      </c>
      <c r="R30" s="33">
        <f t="shared" ref="R30:R37" si="10">+F30+G30+H30+I30+J30+K30+L30+M30+N30+O30+P30+Q30</f>
        <v>1569372.05</v>
      </c>
    </row>
    <row r="31" spans="3:19" x14ac:dyDescent="0.4">
      <c r="C31" s="3" t="s">
        <v>20</v>
      </c>
      <c r="D31" s="34">
        <v>3785300</v>
      </c>
      <c r="E31" s="11">
        <v>53100</v>
      </c>
      <c r="F31" s="16">
        <v>0</v>
      </c>
      <c r="G31" s="11">
        <v>0</v>
      </c>
      <c r="H31" s="35">
        <v>326152</v>
      </c>
      <c r="I31" s="11">
        <f>329069.85-H31</f>
        <v>2917.8499999999767</v>
      </c>
      <c r="J31" s="39">
        <f>653879.85-H31-I31</f>
        <v>324810</v>
      </c>
      <c r="K31" s="11">
        <f>962992.65-H31-I31-J31</f>
        <v>309112.80000000005</v>
      </c>
      <c r="L31" s="11">
        <f>1240682.05-H31-I31-J31-K31</f>
        <v>277689.40000000002</v>
      </c>
      <c r="M31" s="11">
        <f>1251032.05-F31-G31-H31-I31-J31-K31-L31</f>
        <v>10350</v>
      </c>
      <c r="N31" s="11">
        <f>1575590.9-H31-I31-J31-K31-L31-M31</f>
        <v>324558.84999999974</v>
      </c>
      <c r="O31" s="11">
        <f>1888221.7-H31-I31-J31-K31-L31-M31-N31</f>
        <v>312630.80000000028</v>
      </c>
      <c r="P31" s="11">
        <f>1905114.7-H31-I31-J31-K31-L31-M31-N31-O31</f>
        <v>16893</v>
      </c>
      <c r="Q31" s="11">
        <f>3029319.35-H31-I31-J31-K31-L31-M31-N31-O31-P31</f>
        <v>1124204.6499999999</v>
      </c>
      <c r="R31" s="11">
        <f t="shared" si="10"/>
        <v>3029319.35</v>
      </c>
    </row>
    <row r="32" spans="3:19" x14ac:dyDescent="0.4">
      <c r="C32" s="3" t="s">
        <v>21</v>
      </c>
      <c r="D32" s="34">
        <v>215000</v>
      </c>
      <c r="E32" s="11">
        <v>0</v>
      </c>
      <c r="F32" s="16">
        <v>0</v>
      </c>
      <c r="G32" s="11">
        <v>0</v>
      </c>
      <c r="H32" s="34">
        <v>12744</v>
      </c>
      <c r="I32" s="11">
        <f>12744-H32</f>
        <v>0</v>
      </c>
      <c r="J32" s="39">
        <f>12744-H32</f>
        <v>0</v>
      </c>
      <c r="K32" s="11">
        <f>12744-H32</f>
        <v>0</v>
      </c>
      <c r="L32" s="11">
        <f>12744-H32</f>
        <v>0</v>
      </c>
      <c r="M32" s="11">
        <f>12744-F32-G32-H32-I32-J32-K32-L32</f>
        <v>0</v>
      </c>
      <c r="N32" s="11">
        <f>12744-H32</f>
        <v>0</v>
      </c>
      <c r="O32" s="11">
        <f>12744-H32</f>
        <v>0</v>
      </c>
      <c r="P32" s="11">
        <f>12744-H32</f>
        <v>0</v>
      </c>
      <c r="Q32" s="11">
        <f>21476-H32</f>
        <v>8732</v>
      </c>
      <c r="R32" s="11">
        <f t="shared" si="10"/>
        <v>21476</v>
      </c>
    </row>
    <row r="33" spans="3:18" x14ac:dyDescent="0.4">
      <c r="C33" s="3" t="s">
        <v>22</v>
      </c>
      <c r="D33" s="34">
        <v>1800000</v>
      </c>
      <c r="E33" s="11">
        <v>0</v>
      </c>
      <c r="F33" s="16">
        <v>0</v>
      </c>
      <c r="G33" s="11">
        <v>0</v>
      </c>
      <c r="H33" s="11">
        <v>0</v>
      </c>
      <c r="I33" s="11">
        <v>1260</v>
      </c>
      <c r="J33" s="39">
        <f>69131.9-I33</f>
        <v>67871.899999999994</v>
      </c>
      <c r="K33" s="11">
        <f>69131.9-I33-J33</f>
        <v>0</v>
      </c>
      <c r="L33" s="11">
        <f>69131.9-I33-J33</f>
        <v>0</v>
      </c>
      <c r="M33" s="11">
        <f>69131.9-F33-G33-H33-I33-J33-K33-L33</f>
        <v>0</v>
      </c>
      <c r="N33" s="11">
        <f>69131.9-I33-J33</f>
        <v>0</v>
      </c>
      <c r="O33" s="11">
        <f>69131.9-H33-I33-J33</f>
        <v>0</v>
      </c>
      <c r="P33" s="11">
        <f>69590.9-I33-J33</f>
        <v>459</v>
      </c>
      <c r="Q33" s="11">
        <f>326059.57-I33-J33-P33</f>
        <v>256468.67</v>
      </c>
      <c r="R33" s="11">
        <f t="shared" si="10"/>
        <v>326059.57</v>
      </c>
    </row>
    <row r="34" spans="3:18" x14ac:dyDescent="0.4">
      <c r="C34" s="3" t="s">
        <v>23</v>
      </c>
      <c r="D34" s="34">
        <v>875916</v>
      </c>
      <c r="E34" s="11">
        <v>0</v>
      </c>
      <c r="F34" s="16">
        <v>0</v>
      </c>
      <c r="G34" s="11">
        <v>0</v>
      </c>
      <c r="H34" s="34">
        <v>1475</v>
      </c>
      <c r="I34" s="11">
        <f>12878.55-H34</f>
        <v>11403.55</v>
      </c>
      <c r="J34" s="39">
        <f>29908.47-H34-I34</f>
        <v>17029.920000000002</v>
      </c>
      <c r="K34" s="11">
        <f>36988.47-H34-I34-J34</f>
        <v>7080</v>
      </c>
      <c r="L34" s="11">
        <f>36988.47-H34-I34-J34-K34</f>
        <v>0</v>
      </c>
      <c r="M34" s="11">
        <f>36988.47-F34-G34-H34-I34-J34-K34-L34</f>
        <v>0</v>
      </c>
      <c r="N34" s="11">
        <f>36988.47-H34-I34-J34-K34</f>
        <v>0</v>
      </c>
      <c r="O34" s="11">
        <f>106710.06-H34-I34-J34-K34</f>
        <v>69721.59</v>
      </c>
      <c r="P34" s="11">
        <f>125334.36-H34-I34-J34-K34-O34</f>
        <v>18624.300000000003</v>
      </c>
      <c r="Q34" s="11">
        <f>2189764.45-H34-I34-J34-K34-O34-P34</f>
        <v>2064430.0900000003</v>
      </c>
      <c r="R34" s="11">
        <f t="shared" si="10"/>
        <v>2189764.4500000002</v>
      </c>
    </row>
    <row r="35" spans="3:18" x14ac:dyDescent="0.4">
      <c r="C35" s="3" t="s">
        <v>24</v>
      </c>
      <c r="D35" s="34">
        <v>16789250</v>
      </c>
      <c r="E35" s="11">
        <v>0</v>
      </c>
      <c r="F35" s="16">
        <v>0</v>
      </c>
      <c r="G35" s="11">
        <v>0</v>
      </c>
      <c r="H35" s="35">
        <v>2740590.4</v>
      </c>
      <c r="I35" s="11">
        <f>5424865.39-H35</f>
        <v>2684274.9899999998</v>
      </c>
      <c r="J35" s="39">
        <f>5437336.36-H35-I35</f>
        <v>12470.970000000671</v>
      </c>
      <c r="K35" s="11">
        <f>5569732.36-H35-I35-J35</f>
        <v>132396</v>
      </c>
      <c r="L35" s="11">
        <f>5599100.68-H35-I35-J35-K35</f>
        <v>29368.319999999367</v>
      </c>
      <c r="M35" s="11">
        <f>9627000.68-F35-G35-H35-I35-J35-K35-L35</f>
        <v>4027899.9999999991</v>
      </c>
      <c r="N35" s="11">
        <f>9644110.88-H35-I35-J35-K35-L35-M35</f>
        <v>17110.200000001118</v>
      </c>
      <c r="O35" s="11">
        <f>9663888.5-H35-I35-J35-K35-L35-M35-N35</f>
        <v>19777.61999999918</v>
      </c>
      <c r="P35" s="11">
        <f>12351792.43-H35-I35-J35-K35-L35-M35-N35-O35</f>
        <v>2687903.9299999997</v>
      </c>
      <c r="Q35" s="11">
        <f>16605240.9-H35-I35-J35-K35-L35-M35-N35-O35-P35</f>
        <v>4253448.47</v>
      </c>
      <c r="R35" s="11">
        <f t="shared" si="10"/>
        <v>16605240.899999999</v>
      </c>
    </row>
    <row r="36" spans="3:18" x14ac:dyDescent="0.4">
      <c r="C36" s="3" t="s">
        <v>25</v>
      </c>
      <c r="D36" s="33">
        <v>0</v>
      </c>
      <c r="E36" s="11">
        <v>0</v>
      </c>
      <c r="F36" s="16">
        <v>0</v>
      </c>
      <c r="G36" s="11">
        <v>0</v>
      </c>
      <c r="H36" s="11">
        <v>0</v>
      </c>
      <c r="I36" s="11">
        <v>0</v>
      </c>
      <c r="J36" s="39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f t="shared" si="10"/>
        <v>0</v>
      </c>
    </row>
    <row r="37" spans="3:18" x14ac:dyDescent="0.4">
      <c r="C37" s="3" t="s">
        <v>26</v>
      </c>
      <c r="D37" s="34">
        <v>13230720</v>
      </c>
      <c r="E37" s="11">
        <v>320140.45</v>
      </c>
      <c r="F37" s="16">
        <v>0</v>
      </c>
      <c r="G37" s="11">
        <v>0</v>
      </c>
      <c r="H37" s="35">
        <v>640667.03</v>
      </c>
      <c r="I37" s="11">
        <f>1180878.77-H37</f>
        <v>540211.74</v>
      </c>
      <c r="J37" s="39">
        <f>1758939.16-H37-I37</f>
        <v>578060.3899999999</v>
      </c>
      <c r="K37" s="11">
        <f>2166667.57-H37-I37-J37</f>
        <v>407728.40999999992</v>
      </c>
      <c r="L37" s="11">
        <f>3415589.73-H37-I37-J37-K37</f>
        <v>1248922.1600000001</v>
      </c>
      <c r="M37" s="11">
        <f>3450989.73-F37-G37-H37-I37-J37-K37-L37</f>
        <v>35400</v>
      </c>
      <c r="N37" s="11">
        <f>3540253.19-H37-I37-J37-K37-L37-M37</f>
        <v>89263.459999999963</v>
      </c>
      <c r="O37" s="11">
        <f>4491468.33-H37-I37-J37-K37-L37-M37-N37</f>
        <v>951215.13999999966</v>
      </c>
      <c r="P37" s="11">
        <f>4725875.31-H37-I37-J37-K37-L37-M37-N37-O37</f>
        <v>234406.97999999952</v>
      </c>
      <c r="Q37" s="11">
        <f>11638143.72-H37-I37-J37-K37-L37-M37-N37-O37-P37</f>
        <v>6912268.4100000011</v>
      </c>
      <c r="R37" s="11">
        <f t="shared" si="10"/>
        <v>11638143.720000001</v>
      </c>
    </row>
    <row r="38" spans="3:18" x14ac:dyDescent="0.4">
      <c r="C38" s="2" t="s">
        <v>27</v>
      </c>
      <c r="D38" s="10">
        <f>+D39+D40+D41+D42+D43+D44+D45+D46</f>
        <v>0</v>
      </c>
      <c r="E38" s="10">
        <f>+E39+E40+E41+E42+E43+E44+E45</f>
        <v>0</v>
      </c>
      <c r="F38" s="18">
        <f t="shared" ref="F38:L38" si="11">+F39+F40+F41+F42+F43+F44+F45</f>
        <v>0</v>
      </c>
      <c r="G38" s="13">
        <f t="shared" si="11"/>
        <v>0</v>
      </c>
      <c r="H38" s="10">
        <f t="shared" si="11"/>
        <v>0</v>
      </c>
      <c r="I38" s="13">
        <f t="shared" si="11"/>
        <v>0</v>
      </c>
      <c r="J38" s="10">
        <f t="shared" si="11"/>
        <v>0</v>
      </c>
      <c r="K38" s="13">
        <f t="shared" si="11"/>
        <v>0</v>
      </c>
      <c r="L38" s="13">
        <f t="shared" si="11"/>
        <v>0</v>
      </c>
      <c r="M38" s="13">
        <f t="shared" ref="M38:Q38" si="12">+M39+M40+M41+M42+M43+M44+M45</f>
        <v>0</v>
      </c>
      <c r="N38" s="13">
        <f t="shared" si="12"/>
        <v>0</v>
      </c>
      <c r="O38" s="13">
        <f t="shared" si="12"/>
        <v>0</v>
      </c>
      <c r="P38" s="13">
        <f t="shared" si="12"/>
        <v>0</v>
      </c>
      <c r="Q38" s="13">
        <f t="shared" si="12"/>
        <v>0</v>
      </c>
      <c r="R38" s="10">
        <f t="shared" ref="R38" si="13">+R39+R40+R41+R42+R43+R44+R45</f>
        <v>0</v>
      </c>
    </row>
    <row r="39" spans="3:18" x14ac:dyDescent="0.4">
      <c r="C39" s="3" t="s">
        <v>28</v>
      </c>
      <c r="D39" s="11">
        <v>0</v>
      </c>
      <c r="E39" s="11">
        <v>0</v>
      </c>
      <c r="F39" s="17">
        <v>0</v>
      </c>
      <c r="G39" s="12">
        <v>0</v>
      </c>
      <c r="H39" s="11">
        <v>0</v>
      </c>
      <c r="I39" s="12">
        <v>0</v>
      </c>
      <c r="J39" s="11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1">
        <f>+F39+G39+H39+I39+J39+K39+L39+M39+N39+O39+P39+Q39</f>
        <v>0</v>
      </c>
    </row>
    <row r="40" spans="3:18" x14ac:dyDescent="0.4">
      <c r="C40" s="3" t="s">
        <v>29</v>
      </c>
      <c r="D40" s="11">
        <v>0</v>
      </c>
      <c r="E40" s="11">
        <v>0</v>
      </c>
      <c r="F40" s="17">
        <v>0</v>
      </c>
      <c r="G40" s="12">
        <v>0</v>
      </c>
      <c r="H40" s="11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1">
        <f t="shared" ref="R40:R53" si="14">+F40+G40+H40+I40+J40+K40+L40+M40+N40+O40+P40+Q40</f>
        <v>0</v>
      </c>
    </row>
    <row r="41" spans="3:18" x14ac:dyDescent="0.4">
      <c r="C41" s="3" t="s">
        <v>30</v>
      </c>
      <c r="D41" s="11">
        <v>0</v>
      </c>
      <c r="E41" s="11">
        <v>0</v>
      </c>
      <c r="F41" s="17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f t="shared" si="14"/>
        <v>0</v>
      </c>
    </row>
    <row r="42" spans="3:18" x14ac:dyDescent="0.4">
      <c r="C42" s="3" t="s">
        <v>31</v>
      </c>
      <c r="D42" s="11">
        <v>0</v>
      </c>
      <c r="E42" s="11">
        <v>0</v>
      </c>
      <c r="F42" s="17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f t="shared" si="14"/>
        <v>0</v>
      </c>
    </row>
    <row r="43" spans="3:18" x14ac:dyDescent="0.4">
      <c r="C43" s="3" t="s">
        <v>32</v>
      </c>
      <c r="D43" s="11">
        <v>0</v>
      </c>
      <c r="E43" s="11">
        <v>0</v>
      </c>
      <c r="F43" s="17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f t="shared" si="14"/>
        <v>0</v>
      </c>
    </row>
    <row r="44" spans="3:18" x14ac:dyDescent="0.4">
      <c r="C44" s="3" t="s">
        <v>33</v>
      </c>
      <c r="D44" s="11">
        <v>0</v>
      </c>
      <c r="E44" s="11">
        <v>0</v>
      </c>
      <c r="F44" s="17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f t="shared" si="14"/>
        <v>0</v>
      </c>
    </row>
    <row r="45" spans="3:18" x14ac:dyDescent="0.4">
      <c r="C45" s="3" t="s">
        <v>34</v>
      </c>
      <c r="D45" s="11">
        <v>0</v>
      </c>
      <c r="E45" s="11">
        <v>0</v>
      </c>
      <c r="F45" s="17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f t="shared" si="14"/>
        <v>0</v>
      </c>
    </row>
    <row r="46" spans="3:18" x14ac:dyDescent="0.4">
      <c r="C46" s="3" t="s">
        <v>35</v>
      </c>
      <c r="D46" s="10">
        <f>+D47+D48+D49+D50+D51+D52+D53</f>
        <v>0</v>
      </c>
      <c r="E46" s="10">
        <f>+E47+E48+E49+E50+E51+E52+E53</f>
        <v>0</v>
      </c>
      <c r="F46" s="18">
        <f t="shared" ref="F46:L46" si="15">+F47+F48+F49+F50+F51+F52+F53</f>
        <v>0</v>
      </c>
      <c r="G46" s="13">
        <f t="shared" si="15"/>
        <v>0</v>
      </c>
      <c r="H46" s="13">
        <f t="shared" si="15"/>
        <v>0</v>
      </c>
      <c r="I46" s="13">
        <f t="shared" si="15"/>
        <v>0</v>
      </c>
      <c r="J46" s="13">
        <f t="shared" si="15"/>
        <v>0</v>
      </c>
      <c r="K46" s="13">
        <f t="shared" si="15"/>
        <v>0</v>
      </c>
      <c r="L46" s="13">
        <f t="shared" si="15"/>
        <v>0</v>
      </c>
      <c r="M46" s="13">
        <f t="shared" ref="M46:Q46" si="16">+M47+M48+M49+M50+M51+M52+M53</f>
        <v>0</v>
      </c>
      <c r="N46" s="13">
        <f t="shared" si="16"/>
        <v>0</v>
      </c>
      <c r="O46" s="13">
        <f t="shared" si="16"/>
        <v>0</v>
      </c>
      <c r="P46" s="13">
        <f t="shared" si="16"/>
        <v>0</v>
      </c>
      <c r="Q46" s="13">
        <f t="shared" si="16"/>
        <v>0</v>
      </c>
      <c r="R46" s="12">
        <f t="shared" si="14"/>
        <v>0</v>
      </c>
    </row>
    <row r="47" spans="3:18" x14ac:dyDescent="0.4">
      <c r="C47" s="2" t="s">
        <v>36</v>
      </c>
      <c r="D47" s="11">
        <f>+D48+D49+D50+D51+D52+D53</f>
        <v>0</v>
      </c>
      <c r="E47" s="11">
        <v>0</v>
      </c>
      <c r="F47" s="17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f t="shared" si="14"/>
        <v>0</v>
      </c>
    </row>
    <row r="48" spans="3:18" x14ac:dyDescent="0.4">
      <c r="C48" s="3" t="s">
        <v>37</v>
      </c>
      <c r="D48" s="12">
        <v>0</v>
      </c>
      <c r="E48" s="12">
        <v>0</v>
      </c>
      <c r="F48" s="17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f t="shared" si="14"/>
        <v>0</v>
      </c>
    </row>
    <row r="49" spans="3:19" x14ac:dyDescent="0.4">
      <c r="C49" s="3" t="s">
        <v>38</v>
      </c>
      <c r="D49" s="12">
        <v>0</v>
      </c>
      <c r="E49" s="12">
        <v>0</v>
      </c>
      <c r="F49" s="17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f t="shared" si="14"/>
        <v>0</v>
      </c>
    </row>
    <row r="50" spans="3:19" x14ac:dyDescent="0.4">
      <c r="C50" s="3" t="s">
        <v>39</v>
      </c>
      <c r="D50" s="12">
        <v>0</v>
      </c>
      <c r="E50" s="12">
        <v>0</v>
      </c>
      <c r="F50" s="17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f t="shared" si="14"/>
        <v>0</v>
      </c>
    </row>
    <row r="51" spans="3:19" x14ac:dyDescent="0.4">
      <c r="C51" s="3" t="s">
        <v>40</v>
      </c>
      <c r="D51" s="12">
        <v>0</v>
      </c>
      <c r="E51" s="12">
        <v>0</v>
      </c>
      <c r="F51" s="17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f t="shared" si="14"/>
        <v>0</v>
      </c>
    </row>
    <row r="52" spans="3:19" x14ac:dyDescent="0.4">
      <c r="C52" s="3" t="s">
        <v>41</v>
      </c>
      <c r="D52" s="12">
        <v>0</v>
      </c>
      <c r="E52" s="12">
        <v>0</v>
      </c>
      <c r="F52" s="17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f t="shared" si="14"/>
        <v>0</v>
      </c>
    </row>
    <row r="53" spans="3:19" x14ac:dyDescent="0.4">
      <c r="C53" s="3" t="s">
        <v>42</v>
      </c>
      <c r="D53" s="12">
        <v>0</v>
      </c>
      <c r="E53" s="12">
        <v>0</v>
      </c>
      <c r="F53" s="17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f t="shared" si="14"/>
        <v>0</v>
      </c>
    </row>
    <row r="54" spans="3:19" x14ac:dyDescent="0.4">
      <c r="C54" s="2" t="s">
        <v>43</v>
      </c>
      <c r="D54" s="10">
        <f>+D55+D56+D57+D58+D59+D60+D61+D62+D63</f>
        <v>12175000</v>
      </c>
      <c r="E54" s="10">
        <f>+E55+E56+E57+E58+E59+E60+E61+E62+E63</f>
        <v>1152018719.26</v>
      </c>
      <c r="F54" s="18">
        <f t="shared" ref="F54:L54" si="17">+F55+F56+F57+F58+F59+F60+F61+F62+F63</f>
        <v>0</v>
      </c>
      <c r="G54" s="10">
        <f t="shared" si="17"/>
        <v>11708700</v>
      </c>
      <c r="H54" s="10">
        <f t="shared" si="17"/>
        <v>609083.84</v>
      </c>
      <c r="I54" s="10">
        <f t="shared" si="17"/>
        <v>79496.599999999977</v>
      </c>
      <c r="J54" s="10">
        <f t="shared" si="17"/>
        <v>92040</v>
      </c>
      <c r="K54" s="10">
        <f t="shared" si="17"/>
        <v>41971.830000000075</v>
      </c>
      <c r="L54" s="10">
        <f t="shared" si="17"/>
        <v>816518.62</v>
      </c>
      <c r="M54" s="10">
        <f t="shared" ref="M54:Q54" si="18">+M55+M56+M57+M58+M59+M60+M61+M62+M63</f>
        <v>82952.820000000007</v>
      </c>
      <c r="N54" s="10">
        <f t="shared" si="18"/>
        <v>384346125.30000001</v>
      </c>
      <c r="O54" s="10">
        <f t="shared" si="18"/>
        <v>79036.400000000373</v>
      </c>
      <c r="P54" s="10">
        <f t="shared" si="18"/>
        <v>39300098.170000002</v>
      </c>
      <c r="Q54" s="10">
        <f t="shared" si="18"/>
        <v>1532352.0999999857</v>
      </c>
      <c r="R54" s="10">
        <f t="shared" ref="R54" si="19">+R55+R56+R57+R58+R59+R60+R61+R62+R63</f>
        <v>438688375.68000001</v>
      </c>
      <c r="S54" s="48"/>
    </row>
    <row r="55" spans="3:19" x14ac:dyDescent="0.4">
      <c r="C55" s="3" t="s">
        <v>44</v>
      </c>
      <c r="D55" s="34">
        <v>2975000</v>
      </c>
      <c r="E55" s="39">
        <v>409119.26</v>
      </c>
      <c r="F55" s="17">
        <v>0</v>
      </c>
      <c r="G55" s="35">
        <v>0</v>
      </c>
      <c r="H55" s="44">
        <v>609083.84</v>
      </c>
      <c r="I55" s="35">
        <f>688580.44-H55</f>
        <v>79496.599999999977</v>
      </c>
      <c r="J55" s="12">
        <f>688580.44-H55-I55</f>
        <v>0</v>
      </c>
      <c r="K55" s="39">
        <f>730552.27-H55-I55</f>
        <v>41971.830000000075</v>
      </c>
      <c r="L55" s="12">
        <f>730552.27-H55-I55-K55</f>
        <v>0</v>
      </c>
      <c r="M55" s="39">
        <f>744710.15-F55-G55-H55-I55-J55-K55-L55</f>
        <v>14157.880000000005</v>
      </c>
      <c r="N55" s="39">
        <f>1834835.45-H55-I55-K55-M55</f>
        <v>1090125.2999999998</v>
      </c>
      <c r="O55" s="39">
        <f>1913871.85+G55-H55-I55-K55-M55-N55</f>
        <v>79036.400000000373</v>
      </c>
      <c r="P55" s="39">
        <f>1952221.85-H55-I55-K55-M55-N55-O55</f>
        <v>38350</v>
      </c>
      <c r="Q55" s="39">
        <f>2799384.54-H55-I55-K55-M55-N55-O55-P55</f>
        <v>847162.69</v>
      </c>
      <c r="R55" s="39">
        <f>+F55+G55+H55+I55+J55+K55+L55+M55+N55+O55+P55+Q55</f>
        <v>2799384.54</v>
      </c>
    </row>
    <row r="56" spans="3:19" x14ac:dyDescent="0.4">
      <c r="C56" s="3" t="s">
        <v>45</v>
      </c>
      <c r="D56" s="34">
        <v>500000</v>
      </c>
      <c r="E56" s="11">
        <v>0</v>
      </c>
      <c r="F56" s="17">
        <v>0</v>
      </c>
      <c r="G56" s="12">
        <v>0</v>
      </c>
      <c r="H56" s="12">
        <v>0</v>
      </c>
      <c r="I56" s="12">
        <v>0</v>
      </c>
      <c r="J56" s="11">
        <v>0</v>
      </c>
      <c r="K56" s="11">
        <v>0</v>
      </c>
      <c r="L56" s="11">
        <v>0</v>
      </c>
      <c r="M56" s="11">
        <f>68794.94-F56-G56-H56-I56-J56-K56-L56</f>
        <v>68794.94</v>
      </c>
      <c r="N56" s="11">
        <f>68794.94-M56</f>
        <v>0</v>
      </c>
      <c r="O56" s="11">
        <f>68794.94-M56</f>
        <v>0</v>
      </c>
      <c r="P56" s="11">
        <f>68794.94-M56</f>
        <v>0</v>
      </c>
      <c r="Q56" s="11">
        <f>311874.94-M56</f>
        <v>243080</v>
      </c>
      <c r="R56" s="11">
        <f t="shared" ref="R56:R63" si="20">+F56+G56+H56+I56+J56+K56+L56+M56+N56+O56+P56+Q56</f>
        <v>311874.94</v>
      </c>
    </row>
    <row r="57" spans="3:19" x14ac:dyDescent="0.4">
      <c r="C57" s="3" t="s">
        <v>46</v>
      </c>
      <c r="D57" s="33">
        <v>0</v>
      </c>
      <c r="E57" s="11">
        <v>0</v>
      </c>
      <c r="F57" s="17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1">
        <v>0</v>
      </c>
      <c r="O57" s="12">
        <v>0</v>
      </c>
      <c r="P57" s="11">
        <v>0</v>
      </c>
      <c r="Q57" s="12">
        <v>0</v>
      </c>
      <c r="R57" s="11">
        <f t="shared" si="20"/>
        <v>0</v>
      </c>
    </row>
    <row r="58" spans="3:19" x14ac:dyDescent="0.4">
      <c r="C58" s="3" t="s">
        <v>47</v>
      </c>
      <c r="D58" s="33">
        <v>0</v>
      </c>
      <c r="E58" s="11">
        <v>11708700</v>
      </c>
      <c r="F58" s="17">
        <v>0</v>
      </c>
      <c r="G58" s="35">
        <v>11708700</v>
      </c>
      <c r="H58" s="12">
        <v>0</v>
      </c>
      <c r="I58" s="12">
        <v>0</v>
      </c>
      <c r="J58" s="12">
        <v>0</v>
      </c>
      <c r="K58" s="12">
        <f>11708700-G58</f>
        <v>0</v>
      </c>
      <c r="L58" s="12">
        <f>11708700-G58</f>
        <v>0</v>
      </c>
      <c r="M58" s="12">
        <f>11708700-F58-G58-H58-I58-J58-K58-L58</f>
        <v>0</v>
      </c>
      <c r="N58" s="12">
        <f>11708700-G58</f>
        <v>0</v>
      </c>
      <c r="O58" s="12">
        <f>11708700-G58</f>
        <v>0</v>
      </c>
      <c r="P58" s="11">
        <f>11733848.17-G58</f>
        <v>25148.169999999925</v>
      </c>
      <c r="Q58" s="12">
        <f>11733848.17-G58-P58</f>
        <v>0</v>
      </c>
      <c r="R58" s="11">
        <f t="shared" si="20"/>
        <v>11733848.17</v>
      </c>
    </row>
    <row r="59" spans="3:19" x14ac:dyDescent="0.4">
      <c r="C59" s="3" t="s">
        <v>48</v>
      </c>
      <c r="D59" s="34">
        <v>3700000</v>
      </c>
      <c r="E59" s="11">
        <v>0</v>
      </c>
      <c r="F59" s="17">
        <v>0</v>
      </c>
      <c r="G59" s="12">
        <v>0</v>
      </c>
      <c r="H59" s="12">
        <v>0</v>
      </c>
      <c r="I59" s="11">
        <v>0</v>
      </c>
      <c r="J59" s="11">
        <f>92040</f>
        <v>92040</v>
      </c>
      <c r="K59" s="12">
        <f>92040-J59</f>
        <v>0</v>
      </c>
      <c r="L59" s="11">
        <f>908558.62-J59</f>
        <v>816518.62</v>
      </c>
      <c r="M59" s="11">
        <f>908558.62-F59-G59-H59-I59-J59-K59-L59</f>
        <v>0</v>
      </c>
      <c r="N59" s="11">
        <f>908558.62-J59-L59</f>
        <v>0</v>
      </c>
      <c r="O59" s="12">
        <f>908558.62-J59-L59</f>
        <v>0</v>
      </c>
      <c r="P59" s="11">
        <f>908558.62-J59-L59</f>
        <v>0</v>
      </c>
      <c r="Q59" s="11">
        <f>1233016.14-J59-L59</f>
        <v>324457.5199999999</v>
      </c>
      <c r="R59" s="11">
        <f t="shared" si="20"/>
        <v>1233016.1399999999</v>
      </c>
    </row>
    <row r="60" spans="3:19" x14ac:dyDescent="0.4">
      <c r="C60" s="3" t="s">
        <v>49</v>
      </c>
      <c r="D60" s="33">
        <v>0</v>
      </c>
      <c r="E60" s="11">
        <v>0</v>
      </c>
      <c r="F60" s="17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1">
        <f t="shared" si="20"/>
        <v>0</v>
      </c>
    </row>
    <row r="61" spans="3:19" x14ac:dyDescent="0.4">
      <c r="C61" s="3" t="s">
        <v>50</v>
      </c>
      <c r="D61" s="33">
        <v>0</v>
      </c>
      <c r="E61" s="11">
        <v>0</v>
      </c>
      <c r="F61" s="17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1">
        <f t="shared" si="20"/>
        <v>0</v>
      </c>
    </row>
    <row r="62" spans="3:19" x14ac:dyDescent="0.4">
      <c r="C62" s="3" t="s">
        <v>51</v>
      </c>
      <c r="D62" s="33">
        <v>0</v>
      </c>
      <c r="E62" s="11">
        <v>0</v>
      </c>
      <c r="F62" s="17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1">
        <v>0</v>
      </c>
      <c r="O62" s="12">
        <v>0</v>
      </c>
      <c r="P62" s="12">
        <v>0</v>
      </c>
      <c r="Q62" s="12">
        <v>0</v>
      </c>
      <c r="R62" s="12">
        <f t="shared" si="20"/>
        <v>0</v>
      </c>
    </row>
    <row r="63" spans="3:19" x14ac:dyDescent="0.4">
      <c r="C63" s="3" t="s">
        <v>52</v>
      </c>
      <c r="D63" s="34">
        <v>5000000</v>
      </c>
      <c r="E63" s="11">
        <f>39900900+1100000000</f>
        <v>1139900900</v>
      </c>
      <c r="F63" s="17">
        <v>0</v>
      </c>
      <c r="G63" s="12">
        <v>0</v>
      </c>
      <c r="H63" s="12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383256000</v>
      </c>
      <c r="O63" s="11">
        <f>383256000-N63</f>
        <v>0</v>
      </c>
      <c r="P63" s="11">
        <f>422492600-N63</f>
        <v>39236600</v>
      </c>
      <c r="Q63" s="11">
        <f>422610251.89-N63-P63</f>
        <v>117651.88999998569</v>
      </c>
      <c r="R63" s="11">
        <f t="shared" si="20"/>
        <v>422610251.88999999</v>
      </c>
    </row>
    <row r="64" spans="3:19" x14ac:dyDescent="0.4">
      <c r="C64" s="2" t="s">
        <v>53</v>
      </c>
      <c r="D64" s="10">
        <f>+D65+D66+D67+D68</f>
        <v>55407101</v>
      </c>
      <c r="E64" s="10">
        <f>+E65+E66+E67+E68</f>
        <v>360000000</v>
      </c>
      <c r="F64" s="18">
        <f t="shared" ref="F64:L64" si="21">+F65+F66+F67+F68</f>
        <v>0</v>
      </c>
      <c r="G64" s="13">
        <f t="shared" si="21"/>
        <v>0</v>
      </c>
      <c r="H64" s="10">
        <f t="shared" si="21"/>
        <v>0</v>
      </c>
      <c r="I64" s="10">
        <f t="shared" si="21"/>
        <v>0</v>
      </c>
      <c r="J64" s="10">
        <f t="shared" si="21"/>
        <v>13166723.109999999</v>
      </c>
      <c r="K64" s="10">
        <f t="shared" si="21"/>
        <v>4118897.41</v>
      </c>
      <c r="L64" s="10">
        <f t="shared" si="21"/>
        <v>0</v>
      </c>
      <c r="M64" s="10">
        <f t="shared" ref="M64:Q64" si="22">+M65+M66+M67+M68</f>
        <v>0</v>
      </c>
      <c r="N64" s="10">
        <f t="shared" si="22"/>
        <v>23361251.900000002</v>
      </c>
      <c r="O64" s="10">
        <f t="shared" si="22"/>
        <v>0</v>
      </c>
      <c r="P64" s="10">
        <f t="shared" si="22"/>
        <v>28959755.030000005</v>
      </c>
      <c r="Q64" s="10">
        <f t="shared" si="22"/>
        <v>51565567.379999995</v>
      </c>
      <c r="R64" s="10">
        <f t="shared" ref="R64" si="23">+R65+R66+R67+R68</f>
        <v>121172194.83</v>
      </c>
    </row>
    <row r="65" spans="3:18" x14ac:dyDescent="0.4">
      <c r="C65" s="3" t="s">
        <v>54</v>
      </c>
      <c r="D65" s="37">
        <v>55407101</v>
      </c>
      <c r="E65" s="11">
        <v>360000000</v>
      </c>
      <c r="F65" s="17">
        <v>0</v>
      </c>
      <c r="G65" s="12">
        <v>0</v>
      </c>
      <c r="H65" s="11">
        <v>0</v>
      </c>
      <c r="I65" s="11">
        <v>0</v>
      </c>
      <c r="J65" s="11">
        <f>13166723.11</f>
        <v>13166723.109999999</v>
      </c>
      <c r="K65" s="11">
        <f>17285620.52-J65</f>
        <v>4118897.41</v>
      </c>
      <c r="L65" s="11">
        <f>17285620.52-J65-K65</f>
        <v>0</v>
      </c>
      <c r="M65" s="11">
        <f>17285620.52-F65-G65-H65-I65-J65-K65-L65</f>
        <v>0</v>
      </c>
      <c r="N65" s="11">
        <f>40646872.42+-J65-K65</f>
        <v>23361251.900000002</v>
      </c>
      <c r="O65" s="11">
        <f>40646872.42-J65-K65-N65</f>
        <v>0</v>
      </c>
      <c r="P65" s="11">
        <f>69606627.45-J65-K65-N65</f>
        <v>28959755.030000005</v>
      </c>
      <c r="Q65" s="11">
        <f>121172194.83-J65-K65-N65-P65</f>
        <v>51565567.379999995</v>
      </c>
      <c r="R65" s="11">
        <f>+F65+G65+H65+I65+J65+K65+L65+M65+N65+O65+P65+Q65</f>
        <v>121172194.83</v>
      </c>
    </row>
    <row r="66" spans="3:18" x14ac:dyDescent="0.4">
      <c r="C66" s="3" t="s">
        <v>55</v>
      </c>
      <c r="D66" s="11">
        <v>0</v>
      </c>
      <c r="E66" s="11">
        <v>0</v>
      </c>
      <c r="F66" s="17">
        <v>0</v>
      </c>
      <c r="G66" s="12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f t="shared" ref="R66:R68" si="24">+F66+G66+H66+I66+J66+K66+L66+M66+N66+O66+P66+Q66</f>
        <v>0</v>
      </c>
    </row>
    <row r="67" spans="3:18" x14ac:dyDescent="0.4">
      <c r="C67" s="3" t="s">
        <v>56</v>
      </c>
      <c r="D67" s="11">
        <v>0</v>
      </c>
      <c r="E67" s="11">
        <v>0</v>
      </c>
      <c r="F67" s="17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f t="shared" si="24"/>
        <v>0</v>
      </c>
    </row>
    <row r="68" spans="3:18" x14ac:dyDescent="0.4">
      <c r="C68" s="3" t="s">
        <v>57</v>
      </c>
      <c r="D68" s="11">
        <v>0</v>
      </c>
      <c r="E68" s="11">
        <v>0</v>
      </c>
      <c r="F68" s="17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f t="shared" si="24"/>
        <v>0</v>
      </c>
    </row>
    <row r="69" spans="3:18" x14ac:dyDescent="0.4">
      <c r="C69" s="2" t="s">
        <v>58</v>
      </c>
      <c r="D69" s="10">
        <f>+D70+D71</f>
        <v>0</v>
      </c>
      <c r="E69" s="10">
        <f>+E70+E71</f>
        <v>0</v>
      </c>
      <c r="F69" s="18">
        <f t="shared" ref="F69:L69" si="25">+F70+F71</f>
        <v>0</v>
      </c>
      <c r="G69" s="13">
        <f t="shared" si="25"/>
        <v>0</v>
      </c>
      <c r="H69" s="13">
        <f t="shared" si="25"/>
        <v>0</v>
      </c>
      <c r="I69" s="13">
        <f t="shared" si="25"/>
        <v>0</v>
      </c>
      <c r="J69" s="13">
        <f t="shared" si="25"/>
        <v>0</v>
      </c>
      <c r="K69" s="13">
        <f t="shared" si="25"/>
        <v>0</v>
      </c>
      <c r="L69" s="13">
        <f t="shared" si="25"/>
        <v>0</v>
      </c>
      <c r="M69" s="13">
        <f t="shared" ref="M69:Q69" si="26">+M70+M71</f>
        <v>0</v>
      </c>
      <c r="N69" s="13">
        <f t="shared" si="26"/>
        <v>0</v>
      </c>
      <c r="O69" s="13">
        <f t="shared" si="26"/>
        <v>0</v>
      </c>
      <c r="P69" s="13">
        <f t="shared" si="26"/>
        <v>0</v>
      </c>
      <c r="Q69" s="13">
        <f t="shared" si="26"/>
        <v>0</v>
      </c>
      <c r="R69" s="13">
        <f t="shared" ref="R69" si="27">+R70+R71</f>
        <v>0</v>
      </c>
    </row>
    <row r="70" spans="3:18" x14ac:dyDescent="0.4">
      <c r="C70" s="3" t="s">
        <v>59</v>
      </c>
      <c r="D70" s="11">
        <v>0</v>
      </c>
      <c r="E70" s="11">
        <v>0</v>
      </c>
      <c r="F70" s="17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f>+F70+G70+H70+I70+J70+K70+L70+M70+N70+O70+P70+Q70</f>
        <v>0</v>
      </c>
    </row>
    <row r="71" spans="3:18" x14ac:dyDescent="0.4">
      <c r="C71" s="3" t="s">
        <v>60</v>
      </c>
      <c r="D71" s="11">
        <v>0</v>
      </c>
      <c r="E71" s="11">
        <v>0</v>
      </c>
      <c r="F71" s="17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f>+F71+G71+H71+I71+J71+K71+L71+M71+N71+O71+P71+Q71</f>
        <v>0</v>
      </c>
    </row>
    <row r="72" spans="3:18" x14ac:dyDescent="0.4">
      <c r="C72" s="2" t="s">
        <v>61</v>
      </c>
      <c r="D72" s="10">
        <f>+D73+D74+D75</f>
        <v>0</v>
      </c>
      <c r="E72" s="10">
        <f>+E73+E74+E75</f>
        <v>0</v>
      </c>
      <c r="F72" s="18">
        <f t="shared" ref="F72:L72" si="28">+F73+F74+F75</f>
        <v>0</v>
      </c>
      <c r="G72" s="13">
        <f t="shared" si="28"/>
        <v>0</v>
      </c>
      <c r="H72" s="13">
        <f t="shared" si="28"/>
        <v>0</v>
      </c>
      <c r="I72" s="13">
        <f t="shared" si="28"/>
        <v>0</v>
      </c>
      <c r="J72" s="13">
        <f t="shared" si="28"/>
        <v>0</v>
      </c>
      <c r="K72" s="13">
        <f t="shared" si="28"/>
        <v>0</v>
      </c>
      <c r="L72" s="13">
        <f t="shared" si="28"/>
        <v>0</v>
      </c>
      <c r="M72" s="13">
        <f t="shared" ref="M72:Q72" si="29">+M73+M74+M75</f>
        <v>0</v>
      </c>
      <c r="N72" s="13">
        <f t="shared" si="29"/>
        <v>0</v>
      </c>
      <c r="O72" s="13">
        <f t="shared" si="29"/>
        <v>0</v>
      </c>
      <c r="P72" s="13">
        <f t="shared" si="29"/>
        <v>0</v>
      </c>
      <c r="Q72" s="13">
        <f t="shared" si="29"/>
        <v>0</v>
      </c>
      <c r="R72" s="13">
        <f t="shared" ref="R72" si="30">+R73+R74+R75</f>
        <v>0</v>
      </c>
    </row>
    <row r="73" spans="3:18" x14ac:dyDescent="0.4">
      <c r="C73" s="3" t="s">
        <v>62</v>
      </c>
      <c r="D73" s="11">
        <v>0</v>
      </c>
      <c r="E73" s="11">
        <v>0</v>
      </c>
      <c r="F73" s="17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f>+F73+G73+H73+I73+J73+K73+L73+M73+N73+O73+P73+Q73</f>
        <v>0</v>
      </c>
    </row>
    <row r="74" spans="3:18" x14ac:dyDescent="0.4">
      <c r="C74" s="3" t="s">
        <v>63</v>
      </c>
      <c r="D74" s="12">
        <v>0</v>
      </c>
      <c r="E74" s="12">
        <v>0</v>
      </c>
      <c r="F74" s="17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f t="shared" ref="R74:R75" si="31">+F74+G74+H74+I74+J74+K74+L74+M74+N74+O74+P74+Q74</f>
        <v>0</v>
      </c>
    </row>
    <row r="75" spans="3:18" x14ac:dyDescent="0.4">
      <c r="C75" s="3" t="s">
        <v>64</v>
      </c>
      <c r="D75" s="12">
        <v>0</v>
      </c>
      <c r="E75" s="12">
        <v>0</v>
      </c>
      <c r="F75" s="17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f t="shared" si="31"/>
        <v>0</v>
      </c>
    </row>
    <row r="76" spans="3:18" x14ac:dyDescent="0.4">
      <c r="C76" s="9" t="s">
        <v>98</v>
      </c>
      <c r="D76" s="14">
        <f>+D12+D18+D28+D38+D46+D54+D64+D69+D72</f>
        <v>1128343962</v>
      </c>
      <c r="E76" s="14">
        <f>+E12+E18+E28+E38+E46+E54+E64+E69+E72</f>
        <v>1532498307.27</v>
      </c>
      <c r="F76" s="19">
        <f t="shared" ref="F76:L76" si="32">+F12+F18+F28+F38+F46+F54+F64+F69+F72</f>
        <v>64819230.840000004</v>
      </c>
      <c r="G76" s="14">
        <f t="shared" si="32"/>
        <v>76090242.549999997</v>
      </c>
      <c r="H76" s="14">
        <f t="shared" si="32"/>
        <v>74645182.900000021</v>
      </c>
      <c r="I76" s="14">
        <f t="shared" si="32"/>
        <v>109200219.83999997</v>
      </c>
      <c r="J76" s="14">
        <f t="shared" si="32"/>
        <v>76411482.62000002</v>
      </c>
      <c r="K76" s="14">
        <f t="shared" si="32"/>
        <v>68380448.979999989</v>
      </c>
      <c r="L76" s="14">
        <f t="shared" si="32"/>
        <v>60745110.340000004</v>
      </c>
      <c r="M76" s="14">
        <f t="shared" ref="M76:Q76" si="33">+M12+M18+M28+M38+M46+M54+M64+M69+M72</f>
        <v>65472831.050000012</v>
      </c>
      <c r="N76" s="14">
        <f t="shared" si="33"/>
        <v>485007004.46000004</v>
      </c>
      <c r="O76" s="14">
        <f t="shared" si="33"/>
        <v>105466454.11999989</v>
      </c>
      <c r="P76" s="14">
        <f t="shared" si="33"/>
        <v>183606615.86000004</v>
      </c>
      <c r="Q76" s="14">
        <f t="shared" si="33"/>
        <v>253442794.95999983</v>
      </c>
      <c r="R76" s="14">
        <f t="shared" ref="R76" si="34">+R12+R18+R28+R38+R46+R54+R64+R69+R72</f>
        <v>1623287618.5199997</v>
      </c>
    </row>
    <row r="77" spans="3:18" x14ac:dyDescent="0.4">
      <c r="C77" s="36" t="s">
        <v>66</v>
      </c>
      <c r="D77" s="21">
        <f>+D78+D81+D84</f>
        <v>0</v>
      </c>
      <c r="E77" s="22">
        <f>+E78+E81+E84</f>
        <v>0</v>
      </c>
      <c r="F77" s="25">
        <f t="shared" ref="F77:R77" si="35">+F78+F81+F84</f>
        <v>0</v>
      </c>
      <c r="G77" s="25">
        <f t="shared" si="35"/>
        <v>0</v>
      </c>
      <c r="H77" s="25">
        <f t="shared" si="35"/>
        <v>0</v>
      </c>
      <c r="I77" s="25">
        <f t="shared" si="35"/>
        <v>0</v>
      </c>
      <c r="J77" s="25">
        <f t="shared" si="35"/>
        <v>0</v>
      </c>
      <c r="K77" s="25">
        <f t="shared" si="35"/>
        <v>0</v>
      </c>
      <c r="L77" s="25">
        <f t="shared" si="35"/>
        <v>0</v>
      </c>
      <c r="M77" s="25">
        <f t="shared" si="35"/>
        <v>0</v>
      </c>
      <c r="N77" s="25">
        <f t="shared" si="35"/>
        <v>0</v>
      </c>
      <c r="O77" s="25">
        <f t="shared" si="35"/>
        <v>0</v>
      </c>
      <c r="P77" s="25">
        <f t="shared" si="35"/>
        <v>0</v>
      </c>
      <c r="Q77" s="25">
        <f t="shared" si="35"/>
        <v>0</v>
      </c>
      <c r="R77" s="25">
        <f t="shared" si="35"/>
        <v>0</v>
      </c>
    </row>
    <row r="78" spans="3:18" x14ac:dyDescent="0.4">
      <c r="C78" s="2" t="s">
        <v>67</v>
      </c>
      <c r="D78" s="23">
        <f>+D79+D80</f>
        <v>0</v>
      </c>
      <c r="E78" s="22">
        <f>+E79+E80</f>
        <v>0</v>
      </c>
      <c r="F78" s="22">
        <f t="shared" ref="F78:R78" si="36">+F79+F80</f>
        <v>0</v>
      </c>
      <c r="G78" s="22">
        <f t="shared" si="36"/>
        <v>0</v>
      </c>
      <c r="H78" s="22">
        <f t="shared" si="36"/>
        <v>0</v>
      </c>
      <c r="I78" s="22">
        <f t="shared" si="36"/>
        <v>0</v>
      </c>
      <c r="J78" s="22">
        <f t="shared" si="36"/>
        <v>0</v>
      </c>
      <c r="K78" s="22">
        <f t="shared" si="36"/>
        <v>0</v>
      </c>
      <c r="L78" s="22">
        <f t="shared" si="36"/>
        <v>0</v>
      </c>
      <c r="M78" s="22">
        <f t="shared" si="36"/>
        <v>0</v>
      </c>
      <c r="N78" s="22">
        <f t="shared" si="36"/>
        <v>0</v>
      </c>
      <c r="O78" s="22">
        <f t="shared" si="36"/>
        <v>0</v>
      </c>
      <c r="P78" s="22">
        <f t="shared" si="36"/>
        <v>0</v>
      </c>
      <c r="Q78" s="22">
        <f t="shared" si="36"/>
        <v>0</v>
      </c>
      <c r="R78" s="22">
        <f t="shared" si="36"/>
        <v>0</v>
      </c>
    </row>
    <row r="79" spans="3:18" x14ac:dyDescent="0.4">
      <c r="C79" s="3" t="s">
        <v>68</v>
      </c>
      <c r="D79" s="24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f>+F79+G79+H79+I79+J79+K79+L79+M79+N79+O79+P79+Q79</f>
        <v>0</v>
      </c>
    </row>
    <row r="80" spans="3:18" x14ac:dyDescent="0.4">
      <c r="C80" s="3" t="s">
        <v>69</v>
      </c>
      <c r="D80" s="24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f>+F80+G80+H80+I80+J80+K80+L80+M80+N80+O80+P80+Q80</f>
        <v>0</v>
      </c>
    </row>
    <row r="81" spans="3:19" x14ac:dyDescent="0.4">
      <c r="C81" s="2" t="s">
        <v>70</v>
      </c>
      <c r="D81" s="23">
        <f>+D82+D83</f>
        <v>0</v>
      </c>
      <c r="E81" s="22">
        <f>+E82+E83</f>
        <v>0</v>
      </c>
      <c r="F81" s="22">
        <f t="shared" ref="F81:R81" si="37">+F82+F83</f>
        <v>0</v>
      </c>
      <c r="G81" s="22">
        <f t="shared" si="37"/>
        <v>0</v>
      </c>
      <c r="H81" s="22">
        <f t="shared" si="37"/>
        <v>0</v>
      </c>
      <c r="I81" s="22">
        <f t="shared" si="37"/>
        <v>0</v>
      </c>
      <c r="J81" s="22">
        <f t="shared" si="37"/>
        <v>0</v>
      </c>
      <c r="K81" s="22">
        <f t="shared" si="37"/>
        <v>0</v>
      </c>
      <c r="L81" s="22">
        <f t="shared" si="37"/>
        <v>0</v>
      </c>
      <c r="M81" s="22">
        <f t="shared" si="37"/>
        <v>0</v>
      </c>
      <c r="N81" s="22">
        <f t="shared" si="37"/>
        <v>0</v>
      </c>
      <c r="O81" s="22">
        <f t="shared" si="37"/>
        <v>0</v>
      </c>
      <c r="P81" s="22">
        <f t="shared" si="37"/>
        <v>0</v>
      </c>
      <c r="Q81" s="22">
        <f t="shared" si="37"/>
        <v>0</v>
      </c>
      <c r="R81" s="22">
        <f t="shared" si="37"/>
        <v>0</v>
      </c>
    </row>
    <row r="82" spans="3:19" x14ac:dyDescent="0.4">
      <c r="C82" s="3" t="s">
        <v>71</v>
      </c>
      <c r="D82" s="24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f>+F82+G82+H82+I82+J82+K82+L82+M82+N82+O82+P82+Q82</f>
        <v>0</v>
      </c>
    </row>
    <row r="83" spans="3:19" x14ac:dyDescent="0.4">
      <c r="C83" s="3" t="s">
        <v>72</v>
      </c>
      <c r="D83" s="24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f>+F83+G83+H83+I83+J83+K83+L83+M83+N83+O83+P83+Q83</f>
        <v>0</v>
      </c>
    </row>
    <row r="84" spans="3:19" x14ac:dyDescent="0.4">
      <c r="C84" s="2" t="s">
        <v>73</v>
      </c>
      <c r="D84" s="23">
        <f>+D85</f>
        <v>0</v>
      </c>
      <c r="E84" s="22">
        <f>+E85</f>
        <v>0</v>
      </c>
      <c r="F84" s="22">
        <f t="shared" ref="F84:R84" si="38">+F85</f>
        <v>0</v>
      </c>
      <c r="G84" s="22">
        <f t="shared" si="38"/>
        <v>0</v>
      </c>
      <c r="H84" s="22">
        <f t="shared" si="38"/>
        <v>0</v>
      </c>
      <c r="I84" s="22">
        <f t="shared" si="38"/>
        <v>0</v>
      </c>
      <c r="J84" s="22">
        <f t="shared" si="38"/>
        <v>0</v>
      </c>
      <c r="K84" s="22">
        <f t="shared" si="38"/>
        <v>0</v>
      </c>
      <c r="L84" s="22">
        <f t="shared" si="38"/>
        <v>0</v>
      </c>
      <c r="M84" s="22">
        <f t="shared" si="38"/>
        <v>0</v>
      </c>
      <c r="N84" s="22">
        <f t="shared" si="38"/>
        <v>0</v>
      </c>
      <c r="O84" s="22">
        <f t="shared" si="38"/>
        <v>0</v>
      </c>
      <c r="P84" s="22">
        <f t="shared" si="38"/>
        <v>0</v>
      </c>
      <c r="Q84" s="22">
        <f t="shared" si="38"/>
        <v>0</v>
      </c>
      <c r="R84" s="22">
        <f t="shared" si="38"/>
        <v>0</v>
      </c>
    </row>
    <row r="85" spans="3:19" x14ac:dyDescent="0.4">
      <c r="C85" s="3" t="s">
        <v>74</v>
      </c>
      <c r="D85" s="24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f>+F85+G85+H85+I85+J85+K85+L85+M85+N85+O85+P85+Q85</f>
        <v>0</v>
      </c>
    </row>
    <row r="86" spans="3:19" x14ac:dyDescent="0.4">
      <c r="C86" s="27" t="s">
        <v>106</v>
      </c>
      <c r="D86" s="31">
        <f>+D76+D77</f>
        <v>1128343962</v>
      </c>
      <c r="E86" s="31">
        <f>+E76+E77</f>
        <v>1532498307.27</v>
      </c>
      <c r="F86" s="26">
        <f t="shared" ref="F86:R86" si="39">+F76+F77</f>
        <v>64819230.840000004</v>
      </c>
      <c r="G86" s="26">
        <f t="shared" si="39"/>
        <v>76090242.549999997</v>
      </c>
      <c r="H86" s="26">
        <f t="shared" si="39"/>
        <v>74645182.900000021</v>
      </c>
      <c r="I86" s="26">
        <f t="shared" si="39"/>
        <v>109200219.83999997</v>
      </c>
      <c r="J86" s="26">
        <f t="shared" si="39"/>
        <v>76411482.62000002</v>
      </c>
      <c r="K86" s="26">
        <f t="shared" si="39"/>
        <v>68380448.979999989</v>
      </c>
      <c r="L86" s="26">
        <f t="shared" si="39"/>
        <v>60745110.340000004</v>
      </c>
      <c r="M86" s="26">
        <f t="shared" si="39"/>
        <v>65472831.050000012</v>
      </c>
      <c r="N86" s="26">
        <f t="shared" si="39"/>
        <v>485007004.46000004</v>
      </c>
      <c r="O86" s="26">
        <f t="shared" si="39"/>
        <v>105466454.11999989</v>
      </c>
      <c r="P86" s="26">
        <f t="shared" si="39"/>
        <v>183606615.86000004</v>
      </c>
      <c r="Q86" s="26">
        <f t="shared" si="39"/>
        <v>253442794.95999983</v>
      </c>
      <c r="R86" s="26">
        <f t="shared" si="39"/>
        <v>1623287618.5199997</v>
      </c>
    </row>
    <row r="88" spans="3:19" ht="15" thickBot="1" x14ac:dyDescent="0.45">
      <c r="E88" s="46"/>
      <c r="J88" s="38"/>
    </row>
    <row r="89" spans="3:19" ht="31.2" customHeight="1" thickBot="1" x14ac:dyDescent="0.45">
      <c r="C89" s="8" t="s">
        <v>93</v>
      </c>
      <c r="E89" s="46"/>
      <c r="F89" s="46"/>
      <c r="G89" s="35"/>
      <c r="J89" s="35"/>
      <c r="R89" s="48"/>
      <c r="S89" s="38"/>
    </row>
    <row r="90" spans="3:19" ht="33.65" customHeight="1" thickBot="1" x14ac:dyDescent="0.45">
      <c r="C90" s="32" t="s">
        <v>94</v>
      </c>
      <c r="J90" s="38"/>
    </row>
    <row r="91" spans="3:19" ht="58.95" customHeight="1" thickBot="1" x14ac:dyDescent="0.45">
      <c r="C91" s="7" t="s">
        <v>95</v>
      </c>
      <c r="G91" s="35"/>
    </row>
    <row r="92" spans="3:19" x14ac:dyDescent="0.4">
      <c r="G92" s="38"/>
    </row>
    <row r="97" spans="3:18" x14ac:dyDescent="0.4">
      <c r="C97" s="28" t="s">
        <v>100</v>
      </c>
      <c r="E97" s="29"/>
      <c r="F97" s="28" t="s">
        <v>103</v>
      </c>
      <c r="G97" s="28"/>
      <c r="H97" s="28"/>
      <c r="I97" s="28"/>
      <c r="J97" s="30"/>
      <c r="K97" s="29"/>
      <c r="L97" s="28"/>
      <c r="M97" s="28" t="s">
        <v>104</v>
      </c>
      <c r="N97" s="28"/>
      <c r="O97" s="29"/>
      <c r="P97" s="29"/>
      <c r="Q97" s="29"/>
      <c r="R97" s="29"/>
    </row>
    <row r="98" spans="3:18" x14ac:dyDescent="0.4">
      <c r="C98" s="30" t="s">
        <v>101</v>
      </c>
      <c r="F98" s="30"/>
      <c r="G98" s="30" t="s">
        <v>102</v>
      </c>
      <c r="H98" s="30"/>
      <c r="I98" s="30"/>
      <c r="J98" s="30"/>
      <c r="K98" s="30"/>
      <c r="L98" s="30"/>
      <c r="M98" s="30"/>
      <c r="N98" s="30" t="s">
        <v>105</v>
      </c>
      <c r="O98" s="30"/>
      <c r="P98" s="30"/>
    </row>
    <row r="99" spans="3:18" x14ac:dyDescent="0.4">
      <c r="G99" s="30"/>
      <c r="H99" s="30"/>
      <c r="I99" s="30"/>
      <c r="J99" s="30"/>
      <c r="K99" s="30"/>
      <c r="L99" s="30"/>
      <c r="M99" s="30"/>
      <c r="N99" s="30"/>
      <c r="O99" s="30"/>
      <c r="P99" s="30"/>
    </row>
    <row r="100" spans="3:18" x14ac:dyDescent="0.4">
      <c r="G100" s="30"/>
      <c r="H100" s="30"/>
      <c r="I100" s="30"/>
      <c r="J100" s="30"/>
      <c r="K100" s="30"/>
      <c r="L100" s="30"/>
      <c r="M100" s="30"/>
      <c r="N100" s="30"/>
      <c r="O100" s="30"/>
      <c r="P100" s="30"/>
    </row>
    <row r="110" spans="3:18" x14ac:dyDescent="0.4">
      <c r="E110" s="46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Carolina Vargas</cp:lastModifiedBy>
  <cp:lastPrinted>2026-01-06T12:27:35Z</cp:lastPrinted>
  <dcterms:created xsi:type="dcterms:W3CDTF">2021-07-29T18:58:50Z</dcterms:created>
  <dcterms:modified xsi:type="dcterms:W3CDTF">2026-01-15T13:23:13Z</dcterms:modified>
</cp:coreProperties>
</file>