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GOSTO\PRESUPUESTO\"/>
    </mc:Choice>
  </mc:AlternateContent>
  <bookViews>
    <workbookView xWindow="-120" yWindow="-120" windowWidth="29040" windowHeight="1584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2" l="1"/>
  <c r="E13" i="2" l="1"/>
  <c r="L58" i="2" l="1"/>
  <c r="L32" i="2"/>
  <c r="L27" i="2"/>
  <c r="L22" i="2"/>
  <c r="J55" i="2"/>
  <c r="I55" i="2"/>
  <c r="K55" i="2" l="1"/>
  <c r="L55" i="2" s="1"/>
  <c r="M55" i="2" s="1"/>
  <c r="H21" i="2"/>
  <c r="K58" i="2"/>
  <c r="M58" i="2" s="1"/>
  <c r="K32" i="2"/>
  <c r="K30" i="2"/>
  <c r="K27" i="2"/>
  <c r="M27" i="2" s="1"/>
  <c r="I26" i="2"/>
  <c r="J65" i="2"/>
  <c r="J59" i="2"/>
  <c r="K59" i="2" s="1"/>
  <c r="J33" i="2"/>
  <c r="J32" i="2"/>
  <c r="L30" i="2" l="1"/>
  <c r="M30" i="2" s="1"/>
  <c r="L65" i="2"/>
  <c r="K65" i="2"/>
  <c r="M65" i="2" s="1"/>
  <c r="M59" i="2"/>
  <c r="L59" i="2"/>
  <c r="M33" i="2"/>
  <c r="L33" i="2"/>
  <c r="K33" i="2"/>
  <c r="J26" i="2"/>
  <c r="J23" i="2"/>
  <c r="J22" i="2"/>
  <c r="M22" i="2" s="1"/>
  <c r="I37" i="2"/>
  <c r="I35" i="2"/>
  <c r="I34" i="2"/>
  <c r="I32" i="2"/>
  <c r="M32" i="2" s="1"/>
  <c r="I31" i="2"/>
  <c r="I25" i="2"/>
  <c r="I23" i="2"/>
  <c r="I20" i="2"/>
  <c r="H29" i="2"/>
  <c r="H19" i="2"/>
  <c r="I19" i="2" s="1"/>
  <c r="G24" i="2"/>
  <c r="H24" i="2" s="1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J31" i="2" l="1"/>
  <c r="K31" i="2" s="1"/>
  <c r="J19" i="2"/>
  <c r="K19" i="2" s="1"/>
  <c r="J37" i="2"/>
  <c r="H13" i="2"/>
  <c r="I24" i="2"/>
  <c r="J34" i="2"/>
  <c r="L23" i="2"/>
  <c r="K23" i="2"/>
  <c r="M23" i="2" s="1"/>
  <c r="J20" i="2"/>
  <c r="L20" i="2"/>
  <c r="M20" i="2" s="1"/>
  <c r="D76" i="2"/>
  <c r="D86" i="2" s="1"/>
  <c r="H14" i="2"/>
  <c r="I14" i="2" s="1"/>
  <c r="H17" i="2"/>
  <c r="I17" i="2"/>
  <c r="J17" i="2" s="1"/>
  <c r="I29" i="2"/>
  <c r="J35" i="2"/>
  <c r="K35" i="2" s="1"/>
  <c r="J25" i="2"/>
  <c r="K26" i="2"/>
  <c r="I13" i="2"/>
  <c r="J13" i="2" s="1"/>
  <c r="J14" i="2"/>
  <c r="I21" i="2"/>
  <c r="J24" i="2"/>
  <c r="D77" i="2"/>
  <c r="H12" i="2"/>
  <c r="E76" i="2"/>
  <c r="E86" i="2" s="1"/>
  <c r="L37" i="2" l="1"/>
  <c r="L24" i="2"/>
  <c r="L19" i="2"/>
  <c r="M19" i="2"/>
  <c r="M14" i="2"/>
  <c r="L35" i="2"/>
  <c r="M35" i="2" s="1"/>
  <c r="L31" i="2"/>
  <c r="M31" i="2" s="1"/>
  <c r="K17" i="2"/>
  <c r="M17" i="2" s="1"/>
  <c r="K25" i="2"/>
  <c r="L17" i="2"/>
  <c r="K34" i="2"/>
  <c r="M34" i="2" s="1"/>
  <c r="J29" i="2"/>
  <c r="J21" i="2"/>
  <c r="K21" i="2"/>
  <c r="L21" i="2" s="1"/>
  <c r="L34" i="2"/>
  <c r="K24" i="2"/>
  <c r="K13" i="2"/>
  <c r="K37" i="2"/>
  <c r="L26" i="2"/>
  <c r="K14" i="2"/>
  <c r="L14" i="2" s="1"/>
  <c r="R21" i="2" l="1"/>
  <c r="M21" i="2"/>
  <c r="M24" i="2"/>
  <c r="M13" i="2"/>
  <c r="L25" i="2"/>
  <c r="M25" i="2" s="1"/>
  <c r="M37" i="2"/>
  <c r="K29" i="2"/>
  <c r="M29" i="2" s="1"/>
  <c r="M26" i="2"/>
  <c r="R26" i="2" s="1"/>
  <c r="L13" i="2"/>
  <c r="L29" i="2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77" i="2" s="1"/>
  <c r="R64" i="2"/>
  <c r="R38" i="2"/>
  <c r="R28" i="2"/>
  <c r="Q76" i="2"/>
  <c r="P76" i="2"/>
  <c r="O76" i="2"/>
  <c r="N76" i="2"/>
  <c r="M76" i="2"/>
  <c r="L84" i="2"/>
  <c r="L81" i="2"/>
  <c r="L78" i="2"/>
  <c r="K84" i="2"/>
  <c r="K81" i="2"/>
  <c r="K78" i="2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K77" i="2" l="1"/>
  <c r="F77" i="2"/>
  <c r="H77" i="2"/>
  <c r="L77" i="2"/>
  <c r="O86" i="2"/>
  <c r="M86" i="2"/>
  <c r="J77" i="2"/>
  <c r="N86" i="2"/>
  <c r="G77" i="2"/>
  <c r="Q86" i="2"/>
  <c r="R46" i="2"/>
  <c r="I77" i="2"/>
  <c r="L76" i="2"/>
  <c r="L86" i="2" s="1"/>
  <c r="P86" i="2"/>
  <c r="K76" i="2"/>
  <c r="K86" i="2" s="1"/>
  <c r="J76" i="2"/>
  <c r="I76" i="2"/>
  <c r="H76" i="2"/>
  <c r="G76" i="2"/>
  <c r="F76" i="2"/>
  <c r="J86" i="2" l="1"/>
  <c r="F86" i="2"/>
  <c r="H86" i="2"/>
  <c r="I86" i="2"/>
  <c r="G86" i="2"/>
  <c r="R18" i="2"/>
  <c r="R76" i="2" s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<sst xmlns="http://schemas.openxmlformats.org/spreadsheetml/2006/main" count="107" uniqueCount="107">
  <si>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</si>
  <si>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</si>
  <si>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</si>
  <si>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</si>
  <si>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</si>
  <si>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</si>
  <si>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</si>
  <si>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</si>
  <si>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</si>
  <si>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</si>
  <si>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</si>
  <si>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</si>
  <si>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</si>
  <si>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</si>
  <si>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</si>
  <si>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</si>
  <si>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</si>
  <si>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</si>
  <si>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</si>
  <si>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</si>
  <si>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</si>
  <si>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</si>
  <si>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</si>
  <si>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</si>
  <si>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</si>
  <si>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</si>
  <si>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</si>
  <si>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</si>
  <si>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</si>
  <si>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</si>
  <si>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</si>
  <si>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</si>
  <si>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</si>
  <si>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</si>
  <si>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</si>
  <si>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</si>
  <si>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</si>
  <si>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</si>
  <si>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</si>
  <si>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</si>
  <si>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</si>
  <si>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</si>
  <si>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</si>
  <si>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</si>
  <si>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</si>
  <si>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</si>
  <si>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</si>
  <si>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</si>
  <si>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</si>
  <si>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</si>
  <si>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</si>
  <si>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</si>
  <si>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</si>
  <si>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</si>
  <si>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</si>
  <si>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</si>
  <si>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</si>
  <si>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</si>
  <si>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</si>
  <si>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</si>
  <si>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</si>
  <si>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</si>
  <si>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</si>
  <si>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</si>
  <si>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</si>
  <si>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</si>
  <si>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</si>
  <si>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</si>
  <si>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</si>
  <si>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</si>
  <si>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</si>
  <si>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</si>
  <si>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</si>
  <si>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</si>
  <si>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</si>
  <si>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</si>
  <si>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</si>
  <si>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</si>
  <si>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</si>
  <si>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</si>
  <si>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</si>
  <si>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</si>
  <si>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</si>
  <si>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</si>
  <si>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</si>
  <si>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</si>
  <si>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</si>
  <si>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</si>
  <si>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</si>
  <si>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</si>
  <si>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</si>
  <si>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</si>
  <si>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</si>
  <si>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</si>
  <si>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</si>
  <si>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</si>
  <si>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</si>
  <si>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</si>
  <si>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</si>
  <si>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</si>
  <si>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</si>
  <si>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</si>
  <si>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</si>
  <si>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</si>
  <si>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</si>
  <si>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</si>
  <si>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Total Genera: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</si>
</sst>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17</xdr:col>
      <xdr:colOff>9525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100"/>
  <sheetViews>
    <sheetView showGridLines="0" tabSelected="1" topLeftCell="D1" zoomScaleNormal="100" workbookViewId="0">
      <selection activeCell="C94" sqref="C94:S10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4" width="22" bestFit="1" customWidth="1"/>
    <col min="5" max="5" width="23.42578125" bestFit="1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14.140625" customWidth="1"/>
    <col min="12" max="12" width="14.85546875" customWidth="1"/>
    <col min="13" max="13" width="17.5703125" customWidth="1"/>
    <col min="14" max="14" width="11.5703125" customWidth="1"/>
    <col min="15" max="15" width="8.85546875" customWidth="1"/>
    <col min="16" max="16" width="10.85546875" customWidth="1"/>
    <col min="17" max="17" width="10" customWidth="1"/>
    <col min="18" max="18" width="1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1" t="s">
        <v>96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3:19" ht="21" customHeight="1" x14ac:dyDescent="0.25">
      <c r="C4" s="53" t="s">
        <v>97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9" ht="15.75" x14ac:dyDescent="0.25">
      <c r="C5" s="59" t="s">
        <v>99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6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55" t="s">
        <v>65</v>
      </c>
      <c r="D9" s="57" t="s">
        <v>92</v>
      </c>
      <c r="E9" s="57" t="s">
        <v>91</v>
      </c>
      <c r="F9" s="48" t="s">
        <v>89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3:19" x14ac:dyDescent="0.25">
      <c r="C10" s="56"/>
      <c r="D10" s="58"/>
      <c r="E10" s="58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2448475.02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57555865.439999983</v>
      </c>
      <c r="L12" s="11">
        <f t="shared" si="0"/>
        <v>55046541.020000003</v>
      </c>
      <c r="M12" s="11">
        <f t="shared" ref="M12:Q12" si="1">+M13+M14+M15+M16+M17</f>
        <v>54924335.540000014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510497947.69</v>
      </c>
    </row>
    <row r="13" spans="3:19" x14ac:dyDescent="0.25">
      <c r="C13" s="3" t="s">
        <v>2</v>
      </c>
      <c r="D13" s="34">
        <v>536451238</v>
      </c>
      <c r="E13" s="35">
        <f>1512982.02+935493</f>
        <v>2448475.02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f>261339946.02-F13-G13-H13-I13-J13</f>
        <v>41730924.999999985</v>
      </c>
      <c r="L13" s="12">
        <f>302731811.9-F13-G13-H13-I13-J13-K13</f>
        <v>41391865.88000001</v>
      </c>
      <c r="M13" s="12">
        <f>343778082.2-F13-G13-H13-I13-J13-K13-L13</f>
        <v>41046270.300000012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343778082.19999999</v>
      </c>
    </row>
    <row r="14" spans="3:19" x14ac:dyDescent="0.25">
      <c r="C14" s="3" t="s">
        <v>3</v>
      </c>
      <c r="D14" s="34">
        <v>348862009</v>
      </c>
      <c r="E14" s="12">
        <v>0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f>100941519.66-F14-G14-H14-I14-J14</f>
        <v>9482190.6099999994</v>
      </c>
      <c r="L14" s="12">
        <f>108348685.27-F14-G14-H14-I14-J14-K14</f>
        <v>7407165.6099999994</v>
      </c>
      <c r="M14" s="12">
        <f>115935850.88-F14-G14-H14-I14-J14-K14-L14</f>
        <v>7587165.6099999994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115935850.88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f>38245605.45-F17-G17-H17-I17-J17</f>
        <v>6342749.830000001</v>
      </c>
      <c r="L17" s="12">
        <f>44493114.98-F17-G17-H17-I17-J17-K17</f>
        <v>6247509.5299999947</v>
      </c>
      <c r="M17" s="12">
        <f>50784014.61-F17-G17-H17-I17-J17-K17-L17</f>
        <v>6290899.6300000055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50784014.609999999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158772.54</v>
      </c>
      <c r="F18" s="16">
        <f t="shared" ref="F18:L18" si="4">+F19+F20+F21+F22+F23+F24+F25+F26+F27</f>
        <v>6870920.75</v>
      </c>
      <c r="G18" s="11">
        <f t="shared" si="4"/>
        <v>2659973.13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5462547.8100000005</v>
      </c>
      <c r="L18" s="11">
        <f t="shared" si="4"/>
        <v>3298650.8200000017</v>
      </c>
      <c r="M18" s="11">
        <f t="shared" ref="M18:Q18" si="5">+M19+M20+M21+M22+M23+M24+M25+M26+M27</f>
        <v>5141505.6899999976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38045131.640000001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f>9349499.98-F19-G19-H19-I19-J19</f>
        <v>2546123.7600000007</v>
      </c>
      <c r="L19" s="12">
        <f>10789210.8-F19-G19-H19-I19-J19-K19</f>
        <v>1439710.8200000003</v>
      </c>
      <c r="M19" s="12">
        <f>12650177.53-F19-G19-H19-I19-J19-K19-L19</f>
        <v>1860966.7299999995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12650177.530000001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f>36226-I20</f>
        <v>0</v>
      </c>
      <c r="M20" s="12">
        <f>281891.23-F20-G20-H20-I20-J20-K20-L20</f>
        <v>245665.22999999998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281891.23</v>
      </c>
    </row>
    <row r="21" spans="3:18" x14ac:dyDescent="0.25">
      <c r="C21" s="3" t="s">
        <v>10</v>
      </c>
      <c r="D21" s="35">
        <v>10000000</v>
      </c>
      <c r="E21" s="40">
        <v>0</v>
      </c>
      <c r="F21" s="40">
        <v>0</v>
      </c>
      <c r="G21" s="44">
        <v>0</v>
      </c>
      <c r="H21" s="36">
        <f>1670862.5</f>
        <v>1670862.5</v>
      </c>
      <c r="I21" s="40">
        <f>3842120-H21</f>
        <v>2171257.5</v>
      </c>
      <c r="J21" s="12">
        <f>3842120-H21-I21</f>
        <v>0</v>
      </c>
      <c r="K21" s="40">
        <f>5420042.5-H21-I21</f>
        <v>1577922.5</v>
      </c>
      <c r="L21" s="40">
        <f>5420042.5-H21-I21-K21</f>
        <v>0</v>
      </c>
      <c r="M21" s="40">
        <f>7690590-F21-G21-H21-I21-J21-K21-L21</f>
        <v>2270547.5</v>
      </c>
      <c r="N21" s="40">
        <v>0</v>
      </c>
      <c r="O21" s="40">
        <v>0</v>
      </c>
      <c r="P21" s="40">
        <v>0</v>
      </c>
      <c r="Q21" s="40">
        <v>0</v>
      </c>
      <c r="R21" s="40">
        <f>+F21+G21+H21+I21+J21+K21+L21+M21+N21+O21+P21+Q21-G21</f>
        <v>7690590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f>9960-I22</f>
        <v>0</v>
      </c>
      <c r="M22" s="12">
        <f>9960-F22-G22-H22-I22-J22-K22-L22</f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f>348752.54-H23-J23</f>
        <v>0</v>
      </c>
      <c r="L23" s="12">
        <f>348752.54-H23-J23</f>
        <v>0</v>
      </c>
      <c r="M23" s="12">
        <f>348752.54-F23-G23-H23-I23-J23-K23-L23</f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348752.54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f>9505350.19-F24-G24-H24-I24-J24</f>
        <v>904384.83000000007</v>
      </c>
      <c r="L24" s="12">
        <f>10262662.38-F24-G24-H24-I24-J24-K24</f>
        <v>757312.19000000134</v>
      </c>
      <c r="M24" s="12">
        <f>11026988.61-F24-G24-H24-I24-J24-K24-L24</f>
        <v>764326.22999999858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11026988.609999999</v>
      </c>
    </row>
    <row r="25" spans="3:18" x14ac:dyDescent="0.25">
      <c r="C25" s="3" t="s">
        <v>14</v>
      </c>
      <c r="D25" s="35">
        <v>2607000</v>
      </c>
      <c r="E25" s="12">
        <v>0</v>
      </c>
      <c r="F25" s="34">
        <v>0</v>
      </c>
      <c r="G25" s="12">
        <v>0</v>
      </c>
      <c r="H25" s="36">
        <v>1980659.54</v>
      </c>
      <c r="I25" s="12">
        <f>2179182.74-H25</f>
        <v>198523.20000000019</v>
      </c>
      <c r="J25" s="12">
        <f>2236900.09-H25-I25</f>
        <v>57717.349999999627</v>
      </c>
      <c r="K25" s="12">
        <f>2558516.81-H25-I25-J25</f>
        <v>321616.7200000002</v>
      </c>
      <c r="L25" s="12">
        <f>3471642.62-H25-I25-J25-K25</f>
        <v>913125.81</v>
      </c>
      <c r="M25" s="12">
        <f>3471642.62-F25-G25-H25-I25-J25-K25-L25</f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3471642.62</v>
      </c>
    </row>
    <row r="26" spans="3:18" x14ac:dyDescent="0.25">
      <c r="C26" s="3" t="s">
        <v>15</v>
      </c>
      <c r="D26" s="35">
        <v>4060000</v>
      </c>
      <c r="E26" s="40">
        <v>0</v>
      </c>
      <c r="F26" s="40">
        <v>0</v>
      </c>
      <c r="G26" s="44">
        <v>0</v>
      </c>
      <c r="H26" s="40">
        <v>0</v>
      </c>
      <c r="I26" s="40">
        <f>785234.91-H26</f>
        <v>785234.91</v>
      </c>
      <c r="J26" s="40">
        <f>1016127.11-I26</f>
        <v>230892.19999999995</v>
      </c>
      <c r="K26" s="40">
        <f>1128627.11-I26-J26</f>
        <v>112500.00000000012</v>
      </c>
      <c r="L26" s="40">
        <f>1317129.11-I26-J26-K26</f>
        <v>188502</v>
      </c>
      <c r="M26" s="40">
        <f>1317129.11-F26-G26-H26-I26-J26-K26-L26</f>
        <v>0</v>
      </c>
      <c r="N26" s="40">
        <v>0</v>
      </c>
      <c r="O26" s="40">
        <v>0</v>
      </c>
      <c r="P26" s="40">
        <v>0</v>
      </c>
      <c r="Q26" s="40">
        <v>0</v>
      </c>
      <c r="R26" s="40">
        <f>+F26+G26+H26+I26+J26+K26+L26+M26+N26+O26+P26+Q26-G26</f>
        <v>1317129.1100000001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f>1248000-J27</f>
        <v>0</v>
      </c>
      <c r="L27" s="12">
        <f>1248000-J27</f>
        <v>0</v>
      </c>
      <c r="M27" s="12">
        <f>1248000-F27-G27-H27-I27-J27-K27-L27</f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1248000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46">
        <f t="shared" si="7"/>
        <v>1112843.3300000005</v>
      </c>
      <c r="K28" s="11">
        <f t="shared" si="7"/>
        <v>1201166.49</v>
      </c>
      <c r="L28" s="11">
        <f t="shared" si="7"/>
        <v>1583399.8799999994</v>
      </c>
      <c r="M28" s="11">
        <f t="shared" ref="M28:Q28" si="8">+M29+M30+M31+M32+M33+M34+M35+M36+M37</f>
        <v>5324036.9999999991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16505285.560000001</v>
      </c>
    </row>
    <row r="29" spans="3:18" x14ac:dyDescent="0.25">
      <c r="C29" s="3" t="s">
        <v>18</v>
      </c>
      <c r="D29" s="35">
        <v>1937000</v>
      </c>
      <c r="E29" s="40">
        <v>0</v>
      </c>
      <c r="F29" s="40">
        <v>0</v>
      </c>
      <c r="G29" s="40">
        <v>133860</v>
      </c>
      <c r="H29" s="36">
        <f>313862.3-G29</f>
        <v>180002.3</v>
      </c>
      <c r="I29" s="40">
        <f>322142.3-G29-H29</f>
        <v>8280</v>
      </c>
      <c r="J29" s="40">
        <f>434519.9-G29-H29-I29</f>
        <v>112377.60000000003</v>
      </c>
      <c r="K29" s="40">
        <f>713879.18-G29-H29-I29-J29</f>
        <v>279359.28000000003</v>
      </c>
      <c r="L29" s="40">
        <f>741299.18-G29-H29-I29-J29-K29</f>
        <v>27420</v>
      </c>
      <c r="M29" s="40">
        <f>779059.18-F29-G29-H29-I29-J29-K29-L29</f>
        <v>37760</v>
      </c>
      <c r="N29" s="40">
        <v>0</v>
      </c>
      <c r="O29" s="40">
        <v>0</v>
      </c>
      <c r="P29" s="40">
        <v>0</v>
      </c>
      <c r="Q29" s="40">
        <v>0</v>
      </c>
      <c r="R29" s="40">
        <f>+F29+G29+H29+I29+J29+K29+L29+M29+N29+O29+P29+Q29</f>
        <v>779059.18</v>
      </c>
    </row>
    <row r="30" spans="3:18" s="4" customFormat="1" x14ac:dyDescent="0.25">
      <c r="C30" s="41" t="s">
        <v>19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40">
        <v>222.55</v>
      </c>
      <c r="K30" s="34">
        <f>65712.55-J30</f>
        <v>65490</v>
      </c>
      <c r="L30" s="34">
        <f>65712.55-J30-K30</f>
        <v>0</v>
      </c>
      <c r="M30" s="34">
        <f>1278339.55-F30-G30-H30-I30-J30-K30-L30</f>
        <v>1212627</v>
      </c>
      <c r="N30" s="34">
        <v>0</v>
      </c>
      <c r="O30" s="34">
        <v>0</v>
      </c>
      <c r="P30" s="34">
        <v>0</v>
      </c>
      <c r="Q30" s="34">
        <v>0</v>
      </c>
      <c r="R30" s="34">
        <f t="shared" ref="R30:R37" si="10">+F30+G30+H30+I30+J30+K30+L30+M30+N30+O30+P30+Q30</f>
        <v>1278339.55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40">
        <f>653879.85-H31-I31</f>
        <v>324810</v>
      </c>
      <c r="K31" s="12">
        <f>962992.65-H31-I31-J31</f>
        <v>309112.80000000005</v>
      </c>
      <c r="L31" s="12">
        <f>1240682.05-H31-I31-J31-K31</f>
        <v>277689.40000000002</v>
      </c>
      <c r="M31" s="12">
        <f>1251032.05-F31-G31-H31-I31-J31-K31-L31</f>
        <v>10350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1251032.05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40">
        <f>12744-H32</f>
        <v>0</v>
      </c>
      <c r="K32" s="12">
        <f>12744-H32</f>
        <v>0</v>
      </c>
      <c r="L32" s="12">
        <f>12744-H32</f>
        <v>0</v>
      </c>
      <c r="M32" s="12">
        <f>12744-F32-G32-H32-I32-J32-K32-L32</f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40">
        <f>69131.9-I33</f>
        <v>67871.899999999994</v>
      </c>
      <c r="K33" s="12">
        <f>69131.9-I33-J33</f>
        <v>0</v>
      </c>
      <c r="L33" s="12">
        <f>69131.9-I33-J33</f>
        <v>0</v>
      </c>
      <c r="M33" s="12">
        <f>69131.9-F33-G33-H33-I33-J33-K33-L33</f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69131.899999999994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40">
        <f>29908.47-H34-I34</f>
        <v>17029.920000000002</v>
      </c>
      <c r="K34" s="12">
        <f>36988.47-H34-I34-J34</f>
        <v>7080</v>
      </c>
      <c r="L34" s="12">
        <f>36988.47-H34-I34-J34-K34</f>
        <v>0</v>
      </c>
      <c r="M34" s="12">
        <f>36988.47-F34-G34-H34-I34-J34-K34-L34</f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36988.47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40">
        <f>5437336.36-H35-I35</f>
        <v>12470.970000000671</v>
      </c>
      <c r="K35" s="12">
        <f>5569732.36-H35-I35-J35</f>
        <v>132396</v>
      </c>
      <c r="L35" s="12">
        <f>5599100.68-H35-I35-J35-K35</f>
        <v>29368.319999999367</v>
      </c>
      <c r="M35" s="12">
        <f>9627000.68-F35-G35-H35-I35-J35-K35-L35</f>
        <v>4027899.9999999991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9627000.6799999997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40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40">
        <f>1758939.16-H37-I37</f>
        <v>578060.3899999999</v>
      </c>
      <c r="K37" s="12">
        <f>2166667.57-H37-I37-J37</f>
        <v>407728.40999999992</v>
      </c>
      <c r="L37" s="12">
        <f>3415589.73-H37-I37-J37-K37</f>
        <v>1248922.1600000001</v>
      </c>
      <c r="M37" s="12">
        <f>3450989.73-F37-G37-H37-I37-J37-K37-L37</f>
        <v>35400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3450989.73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52017819.259999998</v>
      </c>
      <c r="F54" s="19">
        <f t="shared" ref="F54:L54" si="17">+F55+F56+F57+F58+F59+F60+F61+F62+F63</f>
        <v>0</v>
      </c>
      <c r="G54" s="11">
        <f t="shared" si="17"/>
        <v>11708700</v>
      </c>
      <c r="H54" s="11">
        <f t="shared" si="17"/>
        <v>609083.84</v>
      </c>
      <c r="I54" s="11">
        <f t="shared" si="17"/>
        <v>79496.599999999977</v>
      </c>
      <c r="J54" s="11">
        <f t="shared" si="17"/>
        <v>92040</v>
      </c>
      <c r="K54" s="11">
        <f t="shared" si="17"/>
        <v>41971.830000000075</v>
      </c>
      <c r="L54" s="11">
        <f t="shared" si="17"/>
        <v>816518.62</v>
      </c>
      <c r="M54" s="11">
        <f t="shared" ref="M54:Q54" si="18">+M55+M56+M57+M58+M59+M60+M61+M62+M63</f>
        <v>82952.820000000007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13430763.709999999</v>
      </c>
    </row>
    <row r="55" spans="3:18" x14ac:dyDescent="0.25">
      <c r="C55" s="3" t="s">
        <v>44</v>
      </c>
      <c r="D55" s="35">
        <v>2975000</v>
      </c>
      <c r="E55" s="40">
        <v>409119.26</v>
      </c>
      <c r="F55" s="18">
        <v>0</v>
      </c>
      <c r="G55" s="36">
        <v>0</v>
      </c>
      <c r="H55" s="45">
        <v>609083.84</v>
      </c>
      <c r="I55" s="36">
        <f>688580.44-H55</f>
        <v>79496.599999999977</v>
      </c>
      <c r="J55" s="13">
        <f>688580.44-H55-I55</f>
        <v>0</v>
      </c>
      <c r="K55" s="40">
        <f>730552.27-H55-I55</f>
        <v>41971.830000000075</v>
      </c>
      <c r="L55" s="13">
        <f>730552.27-H55-I55-K55</f>
        <v>0</v>
      </c>
      <c r="M55" s="40">
        <f>744710.15-F55-G55-H55-I55-J55-K55-L55</f>
        <v>14157.880000000005</v>
      </c>
      <c r="N55" s="40">
        <v>0</v>
      </c>
      <c r="O55" s="40">
        <v>0</v>
      </c>
      <c r="P55" s="40">
        <v>0</v>
      </c>
      <c r="Q55" s="40">
        <v>0</v>
      </c>
      <c r="R55" s="40">
        <f>+F55+G55+H55+I55+J55+K55+L55+M55+N55+O55+P55+Q55</f>
        <v>744710.15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f>68794.94-F56-G56-H56-I56-J56-K56-L56</f>
        <v>68794.94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68794.94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f>11708700-G58</f>
        <v>0</v>
      </c>
      <c r="L58" s="13">
        <f>11708700-G58</f>
        <v>0</v>
      </c>
      <c r="M58" s="13">
        <f>11708700-F58-G58-H58-I58-J58-K58-L58</f>
        <v>0</v>
      </c>
      <c r="N58" s="13"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f>92040-J59</f>
        <v>0</v>
      </c>
      <c r="L59" s="13">
        <f>908558.62-J59</f>
        <v>816518.62</v>
      </c>
      <c r="M59" s="12">
        <f>908558.62-F59-G59-H59-I59-J59-K59-L59</f>
        <v>0</v>
      </c>
      <c r="N59" s="12">
        <v>0</v>
      </c>
      <c r="O59" s="13">
        <v>0</v>
      </c>
      <c r="P59" s="12">
        <v>0</v>
      </c>
      <c r="Q59" s="12">
        <v>0</v>
      </c>
      <c r="R59" s="12">
        <f t="shared" si="20"/>
        <v>908558.62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39900000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4118897.41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17285620.52</v>
      </c>
    </row>
    <row r="65" spans="3:18" x14ac:dyDescent="0.25">
      <c r="C65" s="3" t="s">
        <v>54</v>
      </c>
      <c r="D65" s="38">
        <v>55407101</v>
      </c>
      <c r="E65" s="12">
        <v>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f>17285620.52-J65</f>
        <v>4118897.41</v>
      </c>
      <c r="L65" s="12">
        <f>17285620.52-J65-K65</f>
        <v>0</v>
      </c>
      <c r="M65" s="12">
        <f>17285620.52-F65-G65-H65-I65-J65-K65-L65</f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17285620.52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54998307.269999996</v>
      </c>
      <c r="F76" s="20">
        <f t="shared" ref="F76:L76" si="32">+F12+F18+F28+F38+F46+F54+F64+F69+F72</f>
        <v>64819230.840000004</v>
      </c>
      <c r="G76" s="15">
        <f t="shared" si="32"/>
        <v>76090242.549999997</v>
      </c>
      <c r="H76" s="15">
        <f t="shared" si="32"/>
        <v>74645182.900000021</v>
      </c>
      <c r="I76" s="15">
        <f t="shared" si="32"/>
        <v>109200219.83999997</v>
      </c>
      <c r="J76" s="15">
        <f t="shared" si="32"/>
        <v>76411482.62000002</v>
      </c>
      <c r="K76" s="15">
        <f t="shared" si="32"/>
        <v>68380448.979999989</v>
      </c>
      <c r="L76" s="15">
        <f t="shared" si="32"/>
        <v>60745110.340000004</v>
      </c>
      <c r="M76" s="15">
        <f t="shared" ref="M76:Q76" si="33">+M12+M18+M28+M38+M46+M54+M64+M69+M72</f>
        <v>65472831.050000012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595764749.12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106</v>
      </c>
      <c r="D86" s="32">
        <f>+D76+D77</f>
        <v>1128343962</v>
      </c>
      <c r="E86" s="32">
        <f>+E76+E77</f>
        <v>54998307.269999996</v>
      </c>
      <c r="F86" s="27">
        <f t="shared" ref="F86:R86" si="39">+F76+F77</f>
        <v>64819230.840000004</v>
      </c>
      <c r="G86" s="27">
        <f t="shared" si="39"/>
        <v>76090242.549999997</v>
      </c>
      <c r="H86" s="27">
        <f t="shared" si="39"/>
        <v>74645182.900000021</v>
      </c>
      <c r="I86" s="27">
        <f t="shared" si="39"/>
        <v>109200219.83999997</v>
      </c>
      <c r="J86" s="27">
        <f t="shared" si="39"/>
        <v>76411482.62000002</v>
      </c>
      <c r="K86" s="27">
        <f t="shared" si="39"/>
        <v>68380448.979999989</v>
      </c>
      <c r="L86" s="27">
        <f t="shared" si="39"/>
        <v>60745110.340000004</v>
      </c>
      <c r="M86" s="27">
        <f t="shared" si="39"/>
        <v>65472831.050000012</v>
      </c>
      <c r="N86" s="27">
        <f t="shared" si="39"/>
        <v>0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595764749.12</v>
      </c>
    </row>
    <row r="88" spans="3:18" ht="15.75" thickBot="1" x14ac:dyDescent="0.3">
      <c r="J88" s="39"/>
    </row>
    <row r="89" spans="3:18" ht="15.75" thickBot="1" x14ac:dyDescent="0.3">
      <c r="C89" s="9" t="s">
        <v>93</v>
      </c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</row>
    <row r="97" spans="3:18" x14ac:dyDescent="0.25">
      <c r="C97" s="29" t="s">
        <v>100</v>
      </c>
      <c r="E97" s="30"/>
      <c r="F97" s="29" t="s">
        <v>102</v>
      </c>
      <c r="G97" s="29"/>
      <c r="H97" s="29"/>
      <c r="I97" s="29"/>
      <c r="J97" s="31"/>
      <c r="K97" s="30"/>
      <c r="L97" s="29"/>
      <c r="M97" s="29" t="s">
        <v>103</v>
      </c>
      <c r="N97" s="29"/>
      <c r="O97" s="30"/>
      <c r="P97" s="30"/>
      <c r="Q97" s="30"/>
      <c r="R97" s="30"/>
    </row>
    <row r="98" spans="3:18" x14ac:dyDescent="0.25">
      <c r="C98" s="31" t="s">
        <v>101</v>
      </c>
      <c r="F98" s="31"/>
      <c r="G98" s="31" t="s">
        <v>105</v>
      </c>
      <c r="H98" s="31"/>
      <c r="I98" s="31"/>
      <c r="J98" s="31"/>
      <c r="K98" s="31"/>
      <c r="L98" s="31"/>
      <c r="M98" s="31"/>
      <c r="N98" s="31" t="s">
        <v>104</v>
      </c>
      <c r="O98" s="31"/>
      <c r="P98" s="31"/>
    </row>
    <row r="99" spans="3:18" x14ac:dyDescent="0.25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 x14ac:dyDescent="0.25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2025-09-16T00:41:39Z</cp:lastPrinted>
  <dcterms:created xsi:type="dcterms:W3CDTF">2021-07-29T18:58:50Z</dcterms:created>
  <dcterms:modified xsi:type="dcterms:W3CDTF">2025-09-16T00:48:08Z</dcterms:modified>
</cp:coreProperties>
</file>